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5600" windowHeight="9240" firstSheet="2" activeTab="4"/>
  </bookViews>
  <sheets>
    <sheet name="Car rentals" sheetId="1" r:id="rId1"/>
    <sheet name="Costs reconciliation-1st" sheetId="2" r:id="rId2"/>
    <sheet name="Costs reconciliation-2nd" sheetId="4" r:id="rId3"/>
    <sheet name="Costs reconciliation-3rd" sheetId="5" r:id="rId4"/>
    <sheet name="Summary 2nd 3rd costs" sheetId="6" r:id="rId5"/>
  </sheets>
  <calcPr calcId="145621"/>
</workbook>
</file>

<file path=xl/calcChain.xml><?xml version="1.0" encoding="utf-8"?>
<calcChain xmlns="http://schemas.openxmlformats.org/spreadsheetml/2006/main">
  <c r="C11" i="6" l="1"/>
  <c r="C9" i="6"/>
  <c r="C12" i="4" l="1"/>
  <c r="G4" i="6" l="1"/>
  <c r="F4" i="6"/>
  <c r="E4" i="6"/>
  <c r="D4" i="6"/>
  <c r="C4" i="6"/>
  <c r="H4" i="6" l="1"/>
  <c r="F10" i="5"/>
  <c r="K9" i="5" l="1"/>
  <c r="G9" i="5"/>
  <c r="I9" i="5"/>
  <c r="H9" i="5"/>
  <c r="D9" i="5"/>
  <c r="L9" i="5" l="1"/>
  <c r="E5" i="4"/>
  <c r="D5" i="4"/>
  <c r="K7" i="4" l="1"/>
  <c r="J7" i="4"/>
  <c r="I7" i="4"/>
  <c r="H7" i="4"/>
  <c r="D7" i="5" l="1"/>
  <c r="E5" i="5"/>
  <c r="I5" i="5" l="1"/>
  <c r="G5" i="5"/>
  <c r="K5" i="5"/>
  <c r="H5" i="5"/>
  <c r="E7" i="5"/>
  <c r="K7" i="5" s="1"/>
  <c r="D8" i="5"/>
  <c r="G7" i="5"/>
  <c r="D11" i="5"/>
  <c r="E11" i="5" s="1"/>
  <c r="E10" i="5" s="1"/>
  <c r="I7" i="5"/>
  <c r="E6" i="4"/>
  <c r="I5" i="4"/>
  <c r="K10" i="5" l="1"/>
  <c r="I10" i="5"/>
  <c r="C10" i="5"/>
  <c r="H10" i="5"/>
  <c r="J10" i="5"/>
  <c r="G10" i="5"/>
  <c r="E8" i="5"/>
  <c r="K8" i="5" s="1"/>
  <c r="K12" i="5" s="1"/>
  <c r="G5" i="6" s="1"/>
  <c r="G7" i="6" s="1"/>
  <c r="D10" i="5"/>
  <c r="H11" i="5"/>
  <c r="G11" i="5"/>
  <c r="H7" i="5"/>
  <c r="L7" i="5" s="1"/>
  <c r="L5" i="5"/>
  <c r="G8" i="5"/>
  <c r="H8" i="5"/>
  <c r="H6" i="4"/>
  <c r="J6" i="4"/>
  <c r="G6" i="4"/>
  <c r="K6" i="4"/>
  <c r="I6" i="4"/>
  <c r="E8" i="4"/>
  <c r="H12" i="5"/>
  <c r="D5" i="6" s="1"/>
  <c r="D7" i="6" s="1"/>
  <c r="G7" i="4"/>
  <c r="L7" i="4" s="1"/>
  <c r="G5" i="4"/>
  <c r="H5" i="4"/>
  <c r="K8" i="4"/>
  <c r="K10" i="4" s="1"/>
  <c r="I8" i="4"/>
  <c r="I10" i="4" s="1"/>
  <c r="H10" i="2"/>
  <c r="F10" i="2"/>
  <c r="I8" i="5" l="1"/>
  <c r="I12" i="5" s="1"/>
  <c r="E5" i="6" s="1"/>
  <c r="E7" i="6" s="1"/>
  <c r="E12" i="5"/>
  <c r="L8" i="5"/>
  <c r="L11" i="5"/>
  <c r="L6" i="4"/>
  <c r="J5" i="4"/>
  <c r="L5" i="4" s="1"/>
  <c r="G12" i="5"/>
  <c r="C5" i="6" s="1"/>
  <c r="C7" i="6" s="1"/>
  <c r="J12" i="5"/>
  <c r="F5" i="6" s="1"/>
  <c r="H8" i="4"/>
  <c r="H10" i="4" s="1"/>
  <c r="F5" i="2"/>
  <c r="K8" i="2"/>
  <c r="J8" i="2"/>
  <c r="I8" i="2"/>
  <c r="H8" i="2"/>
  <c r="G8" i="2"/>
  <c r="F8" i="2"/>
  <c r="G7" i="2"/>
  <c r="J7" i="2"/>
  <c r="I7" i="2"/>
  <c r="F6" i="2"/>
  <c r="H7" i="2"/>
  <c r="F7" i="2"/>
  <c r="D7" i="2"/>
  <c r="J6" i="2"/>
  <c r="H6" i="2"/>
  <c r="G6" i="2"/>
  <c r="H5" i="2"/>
  <c r="I5" i="2"/>
  <c r="G5" i="2"/>
  <c r="H5" i="6" l="1"/>
  <c r="F7" i="6"/>
  <c r="H7" i="6" s="1"/>
  <c r="L12" i="5"/>
  <c r="C3" i="1"/>
  <c r="H3" i="1"/>
  <c r="E3" i="1"/>
  <c r="E7" i="1"/>
  <c r="C11" i="1" l="1"/>
  <c r="D10" i="1" l="1"/>
  <c r="E10" i="1"/>
  <c r="E6" i="1"/>
  <c r="J8" i="4"/>
  <c r="J10" i="4" s="1"/>
  <c r="G8" i="4"/>
  <c r="G10" i="4" s="1"/>
  <c r="L10" i="4" s="1"/>
  <c r="L8" i="4" l="1"/>
</calcChain>
</file>

<file path=xl/sharedStrings.xml><?xml version="1.0" encoding="utf-8"?>
<sst xmlns="http://schemas.openxmlformats.org/spreadsheetml/2006/main" count="103" uniqueCount="63">
  <si>
    <t>rate</t>
  </si>
  <si>
    <t>Europcar</t>
  </si>
  <si>
    <t>Sixt</t>
  </si>
  <si>
    <t>Ford Focus C-Max</t>
  </si>
  <si>
    <t>Renault Grand Scenic</t>
  </si>
  <si>
    <t>France driver's llicence</t>
  </si>
  <si>
    <t>Foreign driver's licence</t>
  </si>
  <si>
    <t>Hertz</t>
  </si>
  <si>
    <t>5 door - 5 persons</t>
  </si>
  <si>
    <t>03 9698.2555</t>
  </si>
  <si>
    <t>Renault Scenic or Opal Astra</t>
  </si>
  <si>
    <t xml:space="preserve">3pm pick up - 10am return </t>
  </si>
  <si>
    <t>Avis</t>
  </si>
  <si>
    <t>if pay now</t>
  </si>
  <si>
    <t>Citroen C4 or similar</t>
  </si>
  <si>
    <t>All from Grenoble train station</t>
  </si>
  <si>
    <t> 0820 61 16 51</t>
  </si>
  <si>
    <t>Gare Sncf,</t>
  </si>
  <si>
    <t>Opal Astra SW</t>
  </si>
  <si>
    <t>from</t>
  </si>
  <si>
    <t>to</t>
  </si>
  <si>
    <t>Quotes 5 door 5 seater manual SUVs</t>
  </si>
  <si>
    <t>1st Base Camp - accommodation</t>
  </si>
  <si>
    <t>Le Colporteur camp ground</t>
  </si>
  <si>
    <t>Camping Grands Cols</t>
  </si>
  <si>
    <t>2nd Base Camp - accommodation</t>
  </si>
  <si>
    <t>Grenoble</t>
  </si>
  <si>
    <t>AUD</t>
  </si>
  <si>
    <t>Paid by</t>
  </si>
  <si>
    <t>Phil</t>
  </si>
  <si>
    <t>Syd</t>
  </si>
  <si>
    <t>Phil owes</t>
  </si>
  <si>
    <t>Syd owes</t>
  </si>
  <si>
    <t>Shane owes</t>
  </si>
  <si>
    <t>Steve owes</t>
  </si>
  <si>
    <t>Barry owes</t>
  </si>
  <si>
    <t>Variance</t>
  </si>
  <si>
    <t>SUV rental from SixT 'rent a car'</t>
  </si>
  <si>
    <t>Debits</t>
  </si>
  <si>
    <t>Total net</t>
  </si>
  <si>
    <t>Credits</t>
  </si>
  <si>
    <t>1stBaseCamp - remaining accom</t>
  </si>
  <si>
    <t>Steve</t>
  </si>
  <si>
    <t xml:space="preserve"> </t>
  </si>
  <si>
    <t>Petrol - diesel</t>
  </si>
  <si>
    <t>Barry</t>
  </si>
  <si>
    <t>Var-    iance</t>
  </si>
  <si>
    <t>Phil remitted $500 to Steve on 13 Sept</t>
  </si>
  <si>
    <t>Costs reconciliation-2nd</t>
  </si>
  <si>
    <t>Costs reconciliation-3rd</t>
  </si>
  <si>
    <t>Summary 2nd &amp; 3rd worksheets, as all crew have settled with Syd for initial worksheet</t>
  </si>
  <si>
    <t>Bike rack  - last year Scott bought the bike rack and we shared the cost</t>
  </si>
  <si>
    <t>Car rental insurance fee to reduce any excess</t>
  </si>
  <si>
    <t>1st BaseCamp - remaining accom</t>
  </si>
  <si>
    <t>Remaining  Camping Municipal - St Jean</t>
  </si>
  <si>
    <t>per night 'in toto'</t>
  </si>
  <si>
    <t>1st Base Camp accommodation works out at:</t>
  </si>
  <si>
    <t>Row 5 shows Barry and Phil paid 60% of 2nd camp ground and Syd and Shane paid 40%</t>
  </si>
  <si>
    <t xml:space="preserve">Row 11 shows that Phil is paying the 25 Euro charge for the extra driver, as Phil organised the trip and it went well with George driving the car safely back to Grenoble with Phil </t>
  </si>
  <si>
    <t>Petrol - diesel (final top up in Grenoble)</t>
  </si>
  <si>
    <t>Final invoice for insurance on car -see PDF</t>
  </si>
  <si>
    <t>Car rental extra driver - see same PDF</t>
  </si>
  <si>
    <t>Row 8 shows Steve's contribution for diesel from Grenoble to Bourg to St Jean is $25 - car was hardly used in Bourg as we only drove 30km to Grave and 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</si>
</sst>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7" formatCode="&quot;$&quot;#,##0.00;\-&quot;$&quot;#,##0.00"/>
    <numFmt numFmtId="8" formatCode="&quot;$&quot;#,##0.00;[Red]\-&quot;$&quot;#,##0.00"/>
    <numFmt numFmtId="44" formatCode="_-&quot;$&quot;* #,##0.00_-;\-&quot;$&quot;* #,##0.00_-;_-&quot;$&quot;* &quot;-&quot;??_-;_-@_-"/>
    <numFmt numFmtId="43" formatCode="_-* #,##0.00_-;\-* #,##0.00_-;_-* &quot;-&quot;??_-;_-@_-"/>
    <numFmt numFmtId="164" formatCode="[$EUR]\ #,##0.00;\-[$EUR]\ #,##0.00"/>
    <numFmt numFmtId="165" formatCode="[$AUD]\ #,##0.00;\-[$AUD]\ #,##0.00"/>
    <numFmt numFmtId="166" formatCode="[$AUD]\ #,##0.00"/>
    <numFmt numFmtId="167" formatCode="0\ &quot;days&quot;"/>
    <numFmt numFmtId="168" formatCode="0.00\ &quot;Euro per day&quot;"/>
    <numFmt numFmtId="169" formatCode="[$EUR]\ #,##0.00"/>
    <numFmt numFmtId="170" formatCode="&quot;$&quot;#,##0.00"/>
    <numFmt numFmtId="171" formatCode="[$EUR]\ #,##0"/>
    <numFmt numFmtId="172" formatCode="_-* #,##0.000_-;\-* #,##0.000_-;_-* &quot;-&quot;??_-;_-@_-"/>
  </numFmts>
  <fonts count="21">
    <font>
      <sz val="10"/>
      <color theme="1"/>
      <name val="Arial"/>
      <family val="2"/>
    </font>
    <font>
      <sz val="10"/>
      <color theme="1"/>
      <name val="Arial"/>
      <family val="2"/>
    </font>
    <font>
      <sz val="12"/>
      <color theme="1"/>
      <name val="Arial"/>
      <family val="2"/>
    </font>
    <font>
      <b/>
      <sz val="12"/>
      <color theme="1"/>
      <name val="Arial"/>
      <family val="2"/>
    </font>
    <font>
      <sz val="12"/>
      <color rgb="FF333333"/>
      <name val="Arial"/>
      <family val="2"/>
    </font>
    <font>
      <b/>
      <sz val="10"/>
      <color theme="1"/>
      <name val="Arial"/>
      <family val="2"/>
    </font>
    <font>
      <sz val="12"/>
      <color theme="1"/>
      <name val="Calibri"/>
      <family val="2"/>
      <scheme val="minor"/>
    </font>
    <font>
      <sz val="9"/>
      <color rgb="FF000000"/>
      <name val="Inherit"/>
    </font>
    <font>
      <sz val="12"/>
      <color rgb="FF000000"/>
      <name val="Arial"/>
      <family val="2"/>
    </font>
    <font>
      <sz val="11"/>
      <color theme="1"/>
      <name val="Arial"/>
      <family val="2"/>
    </font>
    <font>
      <sz val="11"/>
      <color rgb="FF222222"/>
      <name val="Arial"/>
      <family val="2"/>
    </font>
    <font>
      <b/>
      <sz val="11"/>
      <color theme="1"/>
      <name val="Arial"/>
      <family val="2"/>
    </font>
    <font>
      <sz val="11"/>
      <color rgb="FFFF0000"/>
      <name val="Arial"/>
      <family val="2"/>
    </font>
    <font>
      <b/>
      <sz val="9"/>
      <color theme="1"/>
      <name val="Arial"/>
      <family val="2"/>
    </font>
    <font>
      <sz val="10"/>
      <color theme="1"/>
      <name val="Arial Narrow"/>
      <family val="2"/>
    </font>
    <font>
      <sz val="11"/>
      <color theme="1"/>
      <name val="Arial Narrow"/>
      <family val="2"/>
    </font>
    <font>
      <b/>
      <sz val="11"/>
      <color theme="1"/>
      <name val="Arial Narrow"/>
      <family val="2"/>
    </font>
    <font>
      <sz val="11"/>
      <color rgb="FF222222"/>
      <name val="Arial Narrow"/>
      <family val="2"/>
    </font>
    <font>
      <b/>
      <sz val="10"/>
      <color theme="1"/>
      <name val="Arial Narrow"/>
      <family val="2"/>
    </font>
    <font>
      <b/>
      <sz val="10"/>
      <color rgb="FFFF0000"/>
      <name val="Arial Narrow"/>
      <family val="2"/>
    </font>
    <font>
      <sz val="11"/>
      <color rgb="FFFF0000"/>
      <name val="Arial Narrow"/>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06">
    <xf numFmtId="0" fontId="0" fillId="0" borderId="0" xfId="0"/>
    <xf numFmtId="0" fontId="2" fillId="0" borderId="0" xfId="0" applyFont="1"/>
    <xf numFmtId="0" fontId="3" fillId="0" borderId="0" xfId="0" applyFont="1" applyAlignment="1">
      <alignment horizontal="center"/>
    </xf>
    <xf numFmtId="164" fontId="2" fillId="0" borderId="0" xfId="1" applyNumberFormat="1" applyFont="1"/>
    <xf numFmtId="165" fontId="2" fillId="0" borderId="0" xfId="1" applyNumberFormat="1" applyFont="1"/>
    <xf numFmtId="0" fontId="2" fillId="0" borderId="0" xfId="0" applyFont="1" applyAlignment="1">
      <alignment horizontal="center"/>
    </xf>
    <xf numFmtId="0" fontId="4" fillId="0" borderId="0" xfId="0" applyFont="1" applyAlignment="1">
      <alignment horizontal="left" vertical="center"/>
    </xf>
    <xf numFmtId="166" fontId="2" fillId="0" borderId="0" xfId="0" applyNumberFormat="1" applyFont="1"/>
    <xf numFmtId="0" fontId="3" fillId="0" borderId="0" xfId="0" applyFont="1"/>
    <xf numFmtId="167" fontId="6" fillId="0" borderId="0" xfId="0" applyNumberFormat="1" applyFont="1"/>
    <xf numFmtId="168" fontId="6" fillId="0" borderId="0" xfId="1" applyNumberFormat="1" applyFont="1"/>
    <xf numFmtId="0" fontId="6" fillId="0" borderId="0" xfId="0" applyFont="1"/>
    <xf numFmtId="0" fontId="7" fillId="0" borderId="0" xfId="0" applyFont="1" applyAlignment="1">
      <alignment horizontal="left" vertical="center" wrapText="1"/>
    </xf>
    <xf numFmtId="0" fontId="8" fillId="0" borderId="0" xfId="0" applyFont="1"/>
    <xf numFmtId="15" fontId="2" fillId="0" borderId="0" xfId="0" applyNumberFormat="1" applyFont="1"/>
    <xf numFmtId="0" fontId="0" fillId="0" borderId="0" xfId="0" applyAlignment="1">
      <alignment horizontal="center"/>
    </xf>
    <xf numFmtId="0" fontId="5" fillId="0" borderId="0" xfId="0" applyFont="1" applyAlignment="1">
      <alignment horizontal="center"/>
    </xf>
    <xf numFmtId="167" fontId="2" fillId="0" borderId="0" xfId="0" applyNumberFormat="1" applyFont="1"/>
    <xf numFmtId="0" fontId="9" fillId="0" borderId="0" xfId="0" applyFont="1"/>
    <xf numFmtId="0" fontId="10" fillId="0" borderId="0" xfId="0" applyFont="1"/>
    <xf numFmtId="8" fontId="10" fillId="0" borderId="0" xfId="0" applyNumberFormat="1" applyFont="1"/>
    <xf numFmtId="8" fontId="9" fillId="0" borderId="0" xfId="0" applyNumberFormat="1" applyFont="1"/>
    <xf numFmtId="0" fontId="9" fillId="0" borderId="0" xfId="0" applyFont="1" applyAlignment="1">
      <alignment horizontal="center"/>
    </xf>
    <xf numFmtId="0" fontId="11" fillId="0" borderId="0" xfId="0" applyFont="1" applyAlignment="1">
      <alignment horizontal="center"/>
    </xf>
    <xf numFmtId="0" fontId="11" fillId="0" borderId="0" xfId="0" applyFont="1"/>
    <xf numFmtId="0" fontId="9" fillId="0" borderId="1" xfId="0" applyFont="1" applyBorder="1"/>
    <xf numFmtId="8" fontId="5" fillId="0" borderId="1" xfId="0" applyNumberFormat="1" applyFont="1" applyBorder="1"/>
    <xf numFmtId="0" fontId="9" fillId="0" borderId="1" xfId="0" applyFont="1" applyBorder="1" applyAlignment="1">
      <alignment horizontal="center"/>
    </xf>
    <xf numFmtId="8" fontId="9" fillId="0" borderId="1" xfId="0" applyNumberFormat="1" applyFont="1" applyBorder="1"/>
    <xf numFmtId="170" fontId="5" fillId="0" borderId="1" xfId="0" applyNumberFormat="1" applyFont="1" applyBorder="1"/>
    <xf numFmtId="0" fontId="9" fillId="0" borderId="2" xfId="0" applyFont="1" applyBorder="1" applyAlignment="1">
      <alignment horizontal="center"/>
    </xf>
    <xf numFmtId="0" fontId="9" fillId="0" borderId="2" xfId="0" applyFont="1" applyBorder="1"/>
    <xf numFmtId="8" fontId="9" fillId="0" borderId="2" xfId="0" applyNumberFormat="1" applyFont="1" applyBorder="1"/>
    <xf numFmtId="170" fontId="5" fillId="0" borderId="2" xfId="0" applyNumberFormat="1" applyFont="1" applyBorder="1"/>
    <xf numFmtId="0" fontId="9" fillId="0" borderId="3" xfId="0" applyFont="1" applyBorder="1"/>
    <xf numFmtId="169" fontId="9" fillId="0" borderId="3" xfId="0" applyNumberFormat="1" applyFont="1" applyBorder="1"/>
    <xf numFmtId="0" fontId="11" fillId="0" borderId="3" xfId="0" applyFont="1" applyBorder="1" applyAlignment="1">
      <alignment horizontal="center"/>
    </xf>
    <xf numFmtId="170" fontId="9" fillId="0" borderId="4" xfId="0" applyNumberFormat="1" applyFont="1" applyBorder="1"/>
    <xf numFmtId="170" fontId="12" fillId="0" borderId="4" xfId="0" applyNumberFormat="1" applyFont="1" applyBorder="1"/>
    <xf numFmtId="170" fontId="9" fillId="0" borderId="5" xfId="0" applyNumberFormat="1" applyFont="1" applyBorder="1"/>
    <xf numFmtId="8" fontId="0" fillId="0" borderId="0" xfId="0" applyNumberFormat="1"/>
    <xf numFmtId="0" fontId="9" fillId="0" borderId="0" xfId="0" applyFont="1" applyFill="1" applyBorder="1" applyAlignment="1">
      <alignment horizontal="center"/>
    </xf>
    <xf numFmtId="169" fontId="10" fillId="0" borderId="0" xfId="0" applyNumberFormat="1" applyFont="1"/>
    <xf numFmtId="43" fontId="10" fillId="0" borderId="0" xfId="2" applyFont="1"/>
    <xf numFmtId="43" fontId="9" fillId="0" borderId="0" xfId="0" applyNumberFormat="1" applyFont="1"/>
    <xf numFmtId="8" fontId="9" fillId="0" borderId="5" xfId="0" applyNumberFormat="1" applyFont="1" applyBorder="1"/>
    <xf numFmtId="0" fontId="5" fillId="0" borderId="0" xfId="0" applyFont="1"/>
    <xf numFmtId="170" fontId="9" fillId="0" borderId="2" xfId="0" applyNumberFormat="1" applyFont="1" applyBorder="1"/>
    <xf numFmtId="43" fontId="9" fillId="0" borderId="3" xfId="0" applyNumberFormat="1" applyFont="1" applyBorder="1"/>
    <xf numFmtId="8" fontId="10" fillId="0" borderId="3" xfId="0" applyNumberFormat="1" applyFont="1" applyBorder="1"/>
    <xf numFmtId="0" fontId="14" fillId="0" borderId="0" xfId="0" applyFont="1"/>
    <xf numFmtId="0" fontId="15" fillId="0" borderId="0" xfId="0" applyFont="1"/>
    <xf numFmtId="0" fontId="15" fillId="0" borderId="1" xfId="0" applyFont="1" applyBorder="1"/>
    <xf numFmtId="0" fontId="15" fillId="0" borderId="0" xfId="0" applyFont="1" applyAlignment="1">
      <alignment horizontal="center"/>
    </xf>
    <xf numFmtId="0" fontId="16" fillId="0" borderId="0" xfId="0" applyFont="1"/>
    <xf numFmtId="0" fontId="15" fillId="0" borderId="2" xfId="0" applyFont="1" applyBorder="1"/>
    <xf numFmtId="0" fontId="17" fillId="0" borderId="0" xfId="0" applyFont="1"/>
    <xf numFmtId="8" fontId="17" fillId="0" borderId="0" xfId="0" applyNumberFormat="1" applyFont="1"/>
    <xf numFmtId="8" fontId="15" fillId="0" borderId="1" xfId="0" applyNumberFormat="1" applyFont="1" applyBorder="1"/>
    <xf numFmtId="8" fontId="18" fillId="0" borderId="1" xfId="0" applyNumberFormat="1" applyFont="1" applyBorder="1"/>
    <xf numFmtId="43" fontId="15" fillId="0" borderId="0" xfId="0" applyNumberFormat="1" applyFont="1"/>
    <xf numFmtId="8" fontId="15" fillId="0" borderId="2" xfId="0" applyNumberFormat="1" applyFont="1" applyBorder="1"/>
    <xf numFmtId="0" fontId="15" fillId="0" borderId="3" xfId="0" applyFont="1" applyBorder="1"/>
    <xf numFmtId="169" fontId="15" fillId="0" borderId="3" xfId="0" applyNumberFormat="1" applyFont="1" applyBorder="1"/>
    <xf numFmtId="170" fontId="15" fillId="0" borderId="3" xfId="0" applyNumberFormat="1" applyFont="1" applyBorder="1"/>
    <xf numFmtId="8" fontId="15" fillId="0" borderId="5" xfId="0" applyNumberFormat="1" applyFont="1" applyBorder="1"/>
    <xf numFmtId="170" fontId="15" fillId="0" borderId="4" xfId="0" applyNumberFormat="1" applyFont="1" applyBorder="1"/>
    <xf numFmtId="170" fontId="15" fillId="0" borderId="5" xfId="0" applyNumberFormat="1" applyFont="1" applyBorder="1"/>
    <xf numFmtId="8" fontId="15" fillId="0" borderId="0" xfId="0" applyNumberFormat="1" applyFont="1"/>
    <xf numFmtId="170" fontId="19" fillId="0" borderId="1" xfId="0" applyNumberFormat="1" applyFont="1" applyBorder="1"/>
    <xf numFmtId="170" fontId="18" fillId="0" borderId="2" xfId="0" applyNumberFormat="1" applyFont="1" applyBorder="1"/>
    <xf numFmtId="0" fontId="15" fillId="0" borderId="0" xfId="0" applyFont="1" applyFill="1" applyBorder="1" applyAlignment="1">
      <alignment horizontal="center"/>
    </xf>
    <xf numFmtId="8" fontId="14" fillId="0" borderId="0" xfId="0" applyNumberFormat="1" applyFont="1"/>
    <xf numFmtId="171" fontId="17" fillId="0" borderId="0" xfId="0" applyNumberFormat="1" applyFont="1"/>
    <xf numFmtId="0" fontId="18" fillId="0" borderId="0" xfId="0" applyFont="1" applyAlignment="1">
      <alignment horizontal="center"/>
    </xf>
    <xf numFmtId="0" fontId="18" fillId="0" borderId="3" xfId="0" applyFont="1" applyBorder="1" applyAlignment="1">
      <alignment horizontal="center"/>
    </xf>
    <xf numFmtId="0" fontId="16" fillId="0" borderId="0" xfId="0" applyFont="1" applyAlignment="1">
      <alignment horizontal="center" wrapText="1"/>
    </xf>
    <xf numFmtId="0" fontId="16" fillId="0" borderId="1" xfId="0" applyFont="1" applyBorder="1" applyAlignment="1">
      <alignment horizontal="center" wrapText="1"/>
    </xf>
    <xf numFmtId="0" fontId="16" fillId="0" borderId="2" xfId="0" applyFont="1" applyBorder="1" applyAlignment="1">
      <alignment horizontal="center" wrapText="1"/>
    </xf>
    <xf numFmtId="8" fontId="18" fillId="0" borderId="0" xfId="0" applyNumberFormat="1" applyFont="1" applyBorder="1"/>
    <xf numFmtId="170" fontId="19" fillId="0" borderId="0" xfId="0" applyNumberFormat="1" applyFont="1" applyBorder="1"/>
    <xf numFmtId="170" fontId="18" fillId="0" borderId="0" xfId="0" applyNumberFormat="1" applyFont="1" applyBorder="1"/>
    <xf numFmtId="7" fontId="15" fillId="0" borderId="0" xfId="2" applyNumberFormat="1" applyFont="1"/>
    <xf numFmtId="7" fontId="15" fillId="0" borderId="0" xfId="0" applyNumberFormat="1" applyFont="1"/>
    <xf numFmtId="7" fontId="20" fillId="0" borderId="0" xfId="0" applyNumberFormat="1" applyFont="1"/>
    <xf numFmtId="170" fontId="15" fillId="0" borderId="0" xfId="0" applyNumberFormat="1" applyFont="1"/>
    <xf numFmtId="172" fontId="17" fillId="0" borderId="0" xfId="2" applyNumberFormat="1" applyFont="1"/>
    <xf numFmtId="170" fontId="9" fillId="0" borderId="3" xfId="0" applyNumberFormat="1" applyFont="1" applyBorder="1"/>
    <xf numFmtId="172" fontId="9" fillId="0" borderId="0" xfId="0" applyNumberFormat="1" applyFont="1"/>
    <xf numFmtId="0" fontId="11" fillId="0" borderId="6" xfId="0" applyFont="1" applyBorder="1" applyAlignment="1">
      <alignment horizontal="center"/>
    </xf>
    <xf numFmtId="8" fontId="18" fillId="0" borderId="4" xfId="0" applyNumberFormat="1" applyFont="1" applyBorder="1"/>
    <xf numFmtId="170" fontId="9" fillId="0" borderId="1" xfId="0" applyNumberFormat="1" applyFont="1" applyBorder="1"/>
    <xf numFmtId="7" fontId="9" fillId="0" borderId="1" xfId="0" applyNumberFormat="1" applyFont="1" applyBorder="1"/>
    <xf numFmtId="8" fontId="9" fillId="0" borderId="4" xfId="0" applyNumberFormat="1" applyFont="1" applyBorder="1"/>
    <xf numFmtId="8" fontId="5" fillId="0" borderId="4" xfId="0" applyNumberFormat="1" applyFont="1" applyBorder="1"/>
    <xf numFmtId="8" fontId="5" fillId="0" borderId="0" xfId="0" applyNumberFormat="1" applyFont="1" applyBorder="1"/>
    <xf numFmtId="170" fontId="5" fillId="0" borderId="0" xfId="0" applyNumberFormat="1" applyFont="1" applyBorder="1"/>
    <xf numFmtId="8" fontId="15" fillId="0" borderId="0" xfId="0" applyNumberFormat="1" applyFont="1" applyBorder="1"/>
    <xf numFmtId="0" fontId="15" fillId="0" borderId="0" xfId="0" applyFont="1" applyBorder="1" applyAlignment="1">
      <alignment horizontal="right"/>
    </xf>
    <xf numFmtId="9" fontId="13" fillId="2" borderId="2" xfId="0" applyNumberFormat="1" applyFont="1" applyFill="1" applyBorder="1" applyAlignment="1">
      <alignment horizontal="center"/>
    </xf>
    <xf numFmtId="9" fontId="13" fillId="2" borderId="0" xfId="0" applyNumberFormat="1" applyFont="1" applyFill="1" applyAlignment="1">
      <alignment horizontal="center"/>
    </xf>
    <xf numFmtId="9" fontId="13" fillId="2" borderId="1" xfId="0" applyNumberFormat="1" applyFont="1" applyFill="1" applyBorder="1" applyAlignment="1">
      <alignment horizontal="center"/>
    </xf>
    <xf numFmtId="0" fontId="13" fillId="2" borderId="1" xfId="0" applyFont="1" applyFill="1" applyBorder="1" applyAlignment="1">
      <alignment horizontal="center"/>
    </xf>
    <xf numFmtId="8" fontId="9" fillId="2" borderId="1" xfId="0" applyNumberFormat="1" applyFont="1" applyFill="1" applyBorder="1"/>
    <xf numFmtId="0" fontId="9" fillId="2" borderId="1" xfId="0" applyFont="1" applyFill="1" applyBorder="1"/>
    <xf numFmtId="170" fontId="9" fillId="2" borderId="2" xfId="0" applyNumberFormat="1" applyFont="1" applyFill="1" applyBorder="1"/>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5"/>
  <sheetViews>
    <sheetView workbookViewId="0">
      <selection activeCell="C12" sqref="C12:C13"/>
    </sheetView>
  </sheetViews>
  <sheetFormatPr defaultRowHeight="12.75"/>
  <cols>
    <col min="1" max="1" width="17.42578125" customWidth="1"/>
    <col min="2" max="2" width="32.42578125" customWidth="1"/>
    <col min="3" max="3" width="14.42578125" customWidth="1"/>
    <col min="4" max="4" width="13.85546875" bestFit="1" customWidth="1"/>
    <col min="5" max="5" width="9.28515625" bestFit="1" customWidth="1"/>
    <col min="6" max="6" width="9.42578125" bestFit="1" customWidth="1"/>
    <col min="7" max="7" width="12" bestFit="1" customWidth="1"/>
  </cols>
  <sheetData>
    <row r="2" spans="1:8" ht="15.75">
      <c r="A2" s="8" t="s">
        <v>21</v>
      </c>
      <c r="D2" s="16" t="s">
        <v>19</v>
      </c>
      <c r="E2" s="15"/>
      <c r="G2" s="16" t="s">
        <v>20</v>
      </c>
    </row>
    <row r="3" spans="1:8" ht="15">
      <c r="B3" s="1"/>
      <c r="C3" s="17">
        <f>G3-D3</f>
        <v>17</v>
      </c>
      <c r="D3" s="14">
        <v>41522</v>
      </c>
      <c r="E3" s="5" t="str">
        <f>TEXT(D3,"ddd")</f>
        <v>Thu</v>
      </c>
      <c r="G3" s="14">
        <v>41539</v>
      </c>
      <c r="H3" s="5" t="str">
        <f>TEXT(G3,"ddd")</f>
        <v>Sun</v>
      </c>
    </row>
    <row r="4" spans="1:8" ht="15">
      <c r="A4" s="1" t="s">
        <v>15</v>
      </c>
      <c r="B4" s="1"/>
      <c r="C4" s="1"/>
      <c r="D4" s="1"/>
      <c r="E4" s="1"/>
    </row>
    <row r="5" spans="1:8" ht="15.75">
      <c r="A5" s="1"/>
      <c r="B5" s="1"/>
      <c r="C5" s="1"/>
      <c r="D5" s="1"/>
      <c r="E5" s="2" t="s">
        <v>0</v>
      </c>
      <c r="F5" s="1"/>
      <c r="G5" s="1"/>
      <c r="H5" s="1"/>
    </row>
    <row r="6" spans="1:8" ht="15">
      <c r="A6" s="1" t="s">
        <v>1</v>
      </c>
      <c r="B6" s="1" t="s">
        <v>4</v>
      </c>
      <c r="C6" s="3">
        <v>498.83</v>
      </c>
      <c r="D6" s="4">
        <v>680.9</v>
      </c>
      <c r="E6" s="1">
        <f>C6/D6</f>
        <v>0.73260390659421359</v>
      </c>
      <c r="F6" s="1" t="s">
        <v>5</v>
      </c>
      <c r="G6" s="1"/>
      <c r="H6" s="1"/>
    </row>
    <row r="7" spans="1:8" ht="15">
      <c r="A7" s="1"/>
      <c r="B7" s="1"/>
      <c r="C7" s="1">
        <v>553.99</v>
      </c>
      <c r="D7" s="1">
        <v>840.22</v>
      </c>
      <c r="E7" s="1">
        <f>C7/D7</f>
        <v>0.65933922068029804</v>
      </c>
      <c r="F7" s="1" t="s">
        <v>6</v>
      </c>
      <c r="G7" s="1"/>
      <c r="H7" s="1"/>
    </row>
    <row r="8" spans="1:8" ht="15">
      <c r="A8" s="1"/>
      <c r="B8" s="1"/>
      <c r="C8" s="1"/>
      <c r="D8" s="1">
        <v>934.68</v>
      </c>
      <c r="E8" s="1"/>
      <c r="F8" s="1"/>
      <c r="G8" s="1"/>
      <c r="H8" s="1"/>
    </row>
    <row r="9" spans="1:8" ht="15">
      <c r="A9" s="1"/>
      <c r="B9" s="1"/>
      <c r="C9" s="1"/>
      <c r="D9" s="1"/>
      <c r="E9" s="1"/>
      <c r="F9" s="1"/>
      <c r="G9" s="1"/>
      <c r="H9" s="1"/>
    </row>
    <row r="10" spans="1:8" ht="15">
      <c r="A10" s="1" t="s">
        <v>2</v>
      </c>
      <c r="B10" s="6" t="s">
        <v>3</v>
      </c>
      <c r="C10" s="3">
        <v>578.89</v>
      </c>
      <c r="D10" s="7">
        <f>C10/E10</f>
        <v>790.18142653809912</v>
      </c>
      <c r="E10" s="1">
        <f>E6</f>
        <v>0.73260390659421359</v>
      </c>
      <c r="F10" s="1"/>
      <c r="G10" s="1"/>
      <c r="H10" s="1"/>
    </row>
    <row r="11" spans="1:8" ht="15.75">
      <c r="A11" s="9">
        <v>17</v>
      </c>
      <c r="B11" s="10">
        <v>34.049999999999997</v>
      </c>
      <c r="C11" s="11">
        <f>A11*B11</f>
        <v>578.84999999999991</v>
      </c>
      <c r="D11" s="1"/>
      <c r="E11" s="1"/>
      <c r="F11" s="1"/>
      <c r="G11" s="1"/>
      <c r="H11" s="1"/>
    </row>
    <row r="12" spans="1:8" ht="15.75">
      <c r="A12" s="9"/>
      <c r="B12" s="10"/>
      <c r="C12" s="11"/>
      <c r="D12" s="1"/>
      <c r="E12" s="1"/>
      <c r="F12" s="1"/>
      <c r="G12" s="1"/>
      <c r="H12" s="1"/>
    </row>
    <row r="13" spans="1:8" ht="15.75">
      <c r="A13" s="9"/>
      <c r="B13" s="10" t="s">
        <v>18</v>
      </c>
      <c r="C13" s="11"/>
      <c r="D13" s="1">
        <v>707.79</v>
      </c>
      <c r="E13" s="1"/>
      <c r="F13" s="1"/>
      <c r="G13" s="1"/>
      <c r="H13" s="1"/>
    </row>
    <row r="14" spans="1:8" ht="15">
      <c r="A14" s="1"/>
      <c r="B14" s="1"/>
      <c r="C14" s="1"/>
      <c r="D14" s="1"/>
      <c r="E14" s="1"/>
      <c r="F14" s="1"/>
      <c r="G14" s="1"/>
      <c r="H14" s="1"/>
    </row>
    <row r="15" spans="1:8" ht="15">
      <c r="A15" s="1"/>
      <c r="B15" s="1"/>
      <c r="C15" s="1"/>
      <c r="D15" s="1"/>
      <c r="E15" s="1"/>
      <c r="F15" s="1"/>
      <c r="G15" s="1"/>
      <c r="H15" s="1"/>
    </row>
    <row r="16" spans="1:8" ht="15">
      <c r="A16" s="1" t="s">
        <v>7</v>
      </c>
      <c r="B16" s="1" t="s">
        <v>10</v>
      </c>
      <c r="C16" s="3">
        <v>574.22</v>
      </c>
      <c r="D16" s="1"/>
      <c r="E16" s="1"/>
      <c r="F16" s="1"/>
      <c r="G16" s="1"/>
      <c r="H16" s="1"/>
    </row>
    <row r="17" spans="1:8" ht="15">
      <c r="A17" s="1" t="s">
        <v>9</v>
      </c>
      <c r="B17" s="1" t="s">
        <v>8</v>
      </c>
      <c r="C17" s="1"/>
      <c r="D17" s="1"/>
      <c r="E17" s="1"/>
      <c r="F17" s="1"/>
      <c r="G17" s="1"/>
      <c r="H17" s="1"/>
    </row>
    <row r="18" spans="1:8" ht="15">
      <c r="A18" s="1"/>
      <c r="B18" s="1" t="s">
        <v>11</v>
      </c>
      <c r="C18" s="1"/>
      <c r="D18" s="1"/>
      <c r="E18" s="1"/>
      <c r="F18" s="1"/>
      <c r="G18" s="1"/>
      <c r="H18" s="1"/>
    </row>
    <row r="19" spans="1:8" ht="15">
      <c r="A19" s="1"/>
      <c r="B19" s="1"/>
      <c r="C19" s="1"/>
      <c r="D19" s="1"/>
      <c r="E19" s="1"/>
      <c r="F19" s="1"/>
      <c r="G19" s="1"/>
      <c r="H19" s="1"/>
    </row>
    <row r="20" spans="1:8" ht="15">
      <c r="A20" s="1" t="s">
        <v>12</v>
      </c>
      <c r="B20" s="13" t="s">
        <v>14</v>
      </c>
      <c r="C20" s="3">
        <v>509.82</v>
      </c>
      <c r="D20" s="1"/>
      <c r="E20" s="1"/>
      <c r="F20" s="1"/>
      <c r="G20" s="1"/>
      <c r="H20" s="1"/>
    </row>
    <row r="21" spans="1:8" ht="15">
      <c r="A21" s="1" t="s">
        <v>17</v>
      </c>
      <c r="B21" s="1" t="s">
        <v>8</v>
      </c>
      <c r="C21" s="1" t="s">
        <v>13</v>
      </c>
      <c r="D21" s="1"/>
      <c r="E21" s="1"/>
      <c r="F21" s="1"/>
      <c r="G21" s="1"/>
      <c r="H21" s="1"/>
    </row>
    <row r="22" spans="1:8" ht="15">
      <c r="A22" s="1" t="s">
        <v>16</v>
      </c>
      <c r="B22" s="1"/>
      <c r="C22" s="1"/>
      <c r="D22" s="1"/>
      <c r="E22" s="1"/>
      <c r="F22" s="1"/>
      <c r="G22" s="1"/>
      <c r="H22" s="1"/>
    </row>
    <row r="23" spans="1:8" ht="15">
      <c r="A23" s="1"/>
      <c r="B23" s="1"/>
      <c r="C23" s="1"/>
      <c r="D23" s="1"/>
      <c r="E23" s="1"/>
      <c r="F23" s="1"/>
      <c r="G23" s="1"/>
      <c r="H23" s="1"/>
    </row>
    <row r="29" spans="1:8">
      <c r="A29" s="12"/>
    </row>
    <row r="30" spans="1:8">
      <c r="A30" s="12"/>
    </row>
    <row r="31" spans="1:8">
      <c r="A31" s="12"/>
    </row>
    <row r="32" spans="1:8">
      <c r="A32" s="12"/>
    </row>
    <row r="33" spans="1:1">
      <c r="A33" s="12"/>
    </row>
    <row r="34" spans="1:1">
      <c r="A34" s="12"/>
    </row>
    <row r="35" spans="1:1">
      <c r="A35" s="12"/>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D7" sqref="D7"/>
    </sheetView>
  </sheetViews>
  <sheetFormatPr defaultRowHeight="12.75"/>
  <cols>
    <col min="1" max="1" width="33" customWidth="1"/>
    <col min="2" max="2" width="26.140625" customWidth="1"/>
    <col min="3" max="3" width="12.7109375" customWidth="1"/>
    <col min="4" max="4" width="9.85546875" customWidth="1"/>
    <col min="5" max="5" width="8.85546875" customWidth="1"/>
    <col min="6" max="6" width="9.42578125" customWidth="1"/>
    <col min="8" max="8" width="12.140625" customWidth="1"/>
    <col min="9" max="9" width="11.42578125" customWidth="1"/>
    <col min="10" max="10" width="11.5703125" customWidth="1"/>
  </cols>
  <sheetData>
    <row r="2" spans="1:11" s="18" customFormat="1" ht="14.25"/>
    <row r="3" spans="1:11" s="18" customFormat="1" ht="15">
      <c r="E3" s="23" t="s">
        <v>28</v>
      </c>
      <c r="F3" s="27" t="s">
        <v>31</v>
      </c>
      <c r="G3" s="27" t="s">
        <v>32</v>
      </c>
      <c r="H3" s="27" t="s">
        <v>33</v>
      </c>
      <c r="I3" s="27" t="s">
        <v>34</v>
      </c>
      <c r="J3" s="30" t="s">
        <v>35</v>
      </c>
      <c r="K3" s="25" t="s">
        <v>36</v>
      </c>
    </row>
    <row r="4" spans="1:11" s="18" customFormat="1" ht="15">
      <c r="D4" s="22" t="s">
        <v>27</v>
      </c>
      <c r="E4" s="24"/>
      <c r="F4" s="25"/>
      <c r="G4" s="25"/>
      <c r="H4" s="25"/>
      <c r="I4" s="25"/>
      <c r="J4" s="31"/>
      <c r="K4" s="25"/>
    </row>
    <row r="5" spans="1:11" s="18" customFormat="1" ht="15">
      <c r="A5" s="18" t="s">
        <v>22</v>
      </c>
      <c r="B5" s="19" t="s">
        <v>23</v>
      </c>
      <c r="C5" s="19"/>
      <c r="D5" s="20">
        <v>275.54000000000002</v>
      </c>
      <c r="E5" s="23" t="s">
        <v>29</v>
      </c>
      <c r="F5" s="28">
        <f>-(G5+H5+I5)</f>
        <v>-206.65500000000003</v>
      </c>
      <c r="G5" s="28">
        <f>$D$5/4</f>
        <v>68.885000000000005</v>
      </c>
      <c r="H5" s="28">
        <f t="shared" ref="H5:I5" si="0">$D$5/4</f>
        <v>68.885000000000005</v>
      </c>
      <c r="I5" s="28">
        <f t="shared" si="0"/>
        <v>68.885000000000005</v>
      </c>
      <c r="J5" s="31"/>
      <c r="K5" s="25"/>
    </row>
    <row r="6" spans="1:11" s="18" customFormat="1" ht="15">
      <c r="A6" s="18" t="s">
        <v>25</v>
      </c>
      <c r="B6" s="18" t="s">
        <v>24</v>
      </c>
      <c r="D6" s="21">
        <v>136.61000000000001</v>
      </c>
      <c r="E6" s="23" t="s">
        <v>29</v>
      </c>
      <c r="F6" s="28">
        <f>-(G6+H6+J6)</f>
        <v>-102.45750000000001</v>
      </c>
      <c r="G6" s="28">
        <f>$D$6/4</f>
        <v>34.152500000000003</v>
      </c>
      <c r="H6" s="28">
        <f>$D$6/4</f>
        <v>34.152500000000003</v>
      </c>
      <c r="I6" s="25"/>
      <c r="J6" s="32">
        <f>$D$6/4</f>
        <v>34.152500000000003</v>
      </c>
      <c r="K6" s="25"/>
    </row>
    <row r="7" spans="1:11" s="18" customFormat="1" ht="15">
      <c r="A7" s="34" t="s">
        <v>37</v>
      </c>
      <c r="B7" s="34" t="s">
        <v>26</v>
      </c>
      <c r="C7" s="35">
        <v>503.98</v>
      </c>
      <c r="D7" s="87">
        <f>C7/0.65</f>
        <v>775.35384615384612</v>
      </c>
      <c r="E7" s="36" t="s">
        <v>30</v>
      </c>
      <c r="F7" s="37">
        <f>$D$7/8*2</f>
        <v>193.83846153846153</v>
      </c>
      <c r="G7" s="38">
        <f>-(F7+H7+I7+J7)</f>
        <v>-581.51538461538462</v>
      </c>
      <c r="H7" s="37">
        <f>D$7/8*2</f>
        <v>193.83846153846153</v>
      </c>
      <c r="I7" s="37">
        <f>D7/8</f>
        <v>96.919230769230765</v>
      </c>
      <c r="J7" s="39">
        <f>D7/8</f>
        <v>96.919230769230765</v>
      </c>
      <c r="K7" s="25"/>
    </row>
    <row r="8" spans="1:11" s="18" customFormat="1" ht="14.25">
      <c r="F8" s="26">
        <f>SUM(F5:F7)</f>
        <v>-115.27403846153854</v>
      </c>
      <c r="G8" s="26">
        <f>SUM(G5:G7)</f>
        <v>-478.4778846153846</v>
      </c>
      <c r="H8" s="26">
        <f>SUM(H5:H7)</f>
        <v>296.87596153846152</v>
      </c>
      <c r="I8" s="29">
        <f>SUM(I5:I7)</f>
        <v>165.80423076923077</v>
      </c>
      <c r="J8" s="33">
        <f>SUM(J5:J7)</f>
        <v>131.07173076923078</v>
      </c>
      <c r="K8" s="26">
        <f>SUM(F8:J8)</f>
        <v>0</v>
      </c>
    </row>
    <row r="10" spans="1:11" ht="14.25">
      <c r="E10" s="41" t="s">
        <v>39</v>
      </c>
      <c r="F10" s="40">
        <f>F8+G8</f>
        <v>-593.75192307692316</v>
      </c>
      <c r="H10" s="40">
        <f>H8+I8+J8</f>
        <v>593.75192307692305</v>
      </c>
      <c r="I10" s="41" t="s">
        <v>39</v>
      </c>
    </row>
    <row r="11" spans="1:11" ht="14.25">
      <c r="E11" s="41" t="s">
        <v>38</v>
      </c>
      <c r="I11" s="15" t="s">
        <v>40</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3" workbookViewId="0">
      <selection activeCell="C5" sqref="C5"/>
    </sheetView>
  </sheetViews>
  <sheetFormatPr defaultRowHeight="12.75"/>
  <cols>
    <col min="1" max="1" width="28.28515625" customWidth="1"/>
    <col min="2" max="2" width="28.140625" customWidth="1"/>
    <col min="3" max="3" width="8.140625" customWidth="1"/>
    <col min="4" max="4" width="6.7109375" customWidth="1"/>
    <col min="5" max="5" width="7.7109375" customWidth="1"/>
    <col min="6" max="6" width="6.28515625" customWidth="1"/>
    <col min="7" max="7" width="8.85546875" customWidth="1"/>
    <col min="8" max="8" width="7.42578125" customWidth="1"/>
    <col min="9" max="9" width="8.140625" customWidth="1"/>
    <col min="10" max="10" width="8.28515625" customWidth="1"/>
    <col min="11" max="11" width="7.42578125" customWidth="1"/>
    <col min="12" max="12" width="6.85546875" customWidth="1"/>
  </cols>
  <sheetData>
    <row r="1" spans="1:12">
      <c r="A1" s="50"/>
      <c r="B1" s="50"/>
      <c r="C1" s="50"/>
      <c r="D1" s="50"/>
      <c r="E1" s="50"/>
      <c r="F1" s="50"/>
      <c r="G1" s="50"/>
      <c r="H1" s="50"/>
      <c r="I1" s="50"/>
      <c r="J1" s="50"/>
      <c r="K1" s="50"/>
      <c r="L1" s="50"/>
    </row>
    <row r="2" spans="1:12" s="18" customFormat="1" ht="16.5">
      <c r="A2" s="51"/>
      <c r="B2" s="51"/>
      <c r="C2" s="51"/>
      <c r="D2" s="51"/>
      <c r="E2" s="51"/>
      <c r="F2" s="51"/>
      <c r="G2" s="51"/>
      <c r="H2" s="51"/>
      <c r="I2" s="51"/>
      <c r="J2" s="51"/>
      <c r="K2" s="51"/>
      <c r="L2" s="51"/>
    </row>
    <row r="3" spans="1:12" s="18" customFormat="1" ht="33">
      <c r="A3" s="51"/>
      <c r="B3" s="51"/>
      <c r="C3" s="51"/>
      <c r="D3" s="51"/>
      <c r="E3" s="51"/>
      <c r="F3" s="76" t="s">
        <v>28</v>
      </c>
      <c r="G3" s="77" t="s">
        <v>31</v>
      </c>
      <c r="H3" s="77" t="s">
        <v>32</v>
      </c>
      <c r="I3" s="77" t="s">
        <v>33</v>
      </c>
      <c r="J3" s="77" t="s">
        <v>34</v>
      </c>
      <c r="K3" s="78" t="s">
        <v>35</v>
      </c>
      <c r="L3" s="77" t="s">
        <v>46</v>
      </c>
    </row>
    <row r="4" spans="1:12" s="18" customFormat="1" ht="16.5">
      <c r="A4" s="51"/>
      <c r="B4" s="51"/>
      <c r="C4" s="51"/>
      <c r="D4" s="51"/>
      <c r="E4" s="53" t="s">
        <v>27</v>
      </c>
      <c r="F4" s="54"/>
      <c r="H4" s="52"/>
      <c r="I4" s="52"/>
      <c r="J4" s="52"/>
      <c r="K4" s="55"/>
      <c r="L4" s="52"/>
    </row>
    <row r="5" spans="1:12" s="18" customFormat="1" ht="16.5">
      <c r="A5" s="51" t="s">
        <v>53</v>
      </c>
      <c r="B5" s="56" t="s">
        <v>23</v>
      </c>
      <c r="C5" s="73">
        <v>436.88</v>
      </c>
      <c r="D5" s="86">
        <f>C5/E5</f>
        <v>0.67235064175567116</v>
      </c>
      <c r="E5" s="57">
        <f>630.85+18.93</f>
        <v>649.78</v>
      </c>
      <c r="F5" s="74" t="s">
        <v>42</v>
      </c>
      <c r="G5" s="58">
        <f>$E$5/4</f>
        <v>162.44499999999999</v>
      </c>
      <c r="H5" s="58">
        <f>$E$5/4</f>
        <v>162.44499999999999</v>
      </c>
      <c r="I5" s="58">
        <f t="shared" ref="I5" si="0">$E$5/4</f>
        <v>162.44499999999999</v>
      </c>
      <c r="J5" s="58">
        <f>-(G5+H5+I5)</f>
        <v>-487.33499999999998</v>
      </c>
      <c r="K5" s="55"/>
      <c r="L5" s="59">
        <f>SUM(G5:K5)</f>
        <v>0</v>
      </c>
    </row>
    <row r="6" spans="1:12" s="18" customFormat="1" ht="16.5">
      <c r="A6" s="51" t="s">
        <v>52</v>
      </c>
      <c r="C6" s="73">
        <v>15</v>
      </c>
      <c r="D6" s="60">
        <v>0.68</v>
      </c>
      <c r="E6" s="57">
        <f>C6/D6</f>
        <v>22.058823529411764</v>
      </c>
      <c r="F6" s="74" t="s">
        <v>30</v>
      </c>
      <c r="G6" s="58">
        <f>$E$6/8*2</f>
        <v>5.5147058823529411</v>
      </c>
      <c r="H6" s="58">
        <f>($E$6/8*2)-E6</f>
        <v>-16.544117647058822</v>
      </c>
      <c r="I6" s="58">
        <f>$E$6/8*2</f>
        <v>5.5147058823529411</v>
      </c>
      <c r="J6" s="58">
        <f>$E$6/8*1</f>
        <v>2.7573529411764706</v>
      </c>
      <c r="K6" s="61">
        <f>$E$6/8*1</f>
        <v>2.7573529411764706</v>
      </c>
      <c r="L6" s="59">
        <f>SUM(G6:K6)</f>
        <v>0</v>
      </c>
    </row>
    <row r="7" spans="1:12" s="18" customFormat="1" ht="16.5">
      <c r="A7" s="62" t="s">
        <v>51</v>
      </c>
      <c r="B7" s="34"/>
      <c r="C7" s="63"/>
      <c r="D7" s="63"/>
      <c r="E7" s="64">
        <v>70</v>
      </c>
      <c r="F7" s="75" t="s">
        <v>29</v>
      </c>
      <c r="G7" s="65">
        <f>-(H7+I7+J7+K7)</f>
        <v>-52.5</v>
      </c>
      <c r="H7" s="66">
        <f>$E$7/8*2</f>
        <v>17.5</v>
      </c>
      <c r="I7" s="66">
        <f>E$7/8*2</f>
        <v>17.5</v>
      </c>
      <c r="J7" s="66">
        <f>E7/8</f>
        <v>8.75</v>
      </c>
      <c r="K7" s="67">
        <f>E7/8</f>
        <v>8.75</v>
      </c>
      <c r="L7" s="59">
        <f>SUM(G7:K7)</f>
        <v>0</v>
      </c>
    </row>
    <row r="8" spans="1:12" s="18" customFormat="1" ht="16.5">
      <c r="A8" s="51"/>
      <c r="B8" s="51"/>
      <c r="C8" s="51"/>
      <c r="D8" s="51"/>
      <c r="E8" s="68">
        <f>SUM(E5:E7)</f>
        <v>741.83882352941168</v>
      </c>
      <c r="F8" s="51"/>
      <c r="G8" s="59">
        <f>SUM(G5:G7)</f>
        <v>115.45970588235292</v>
      </c>
      <c r="H8" s="59">
        <f>SUM(H5:H7)</f>
        <v>163.40088235294118</v>
      </c>
      <c r="I8" s="59">
        <f>SUM(I5:I7)</f>
        <v>185.45970588235292</v>
      </c>
      <c r="J8" s="69">
        <f>SUM(J5:J7)</f>
        <v>-475.82764705882352</v>
      </c>
      <c r="K8" s="70">
        <f>SUM(K5:K7)</f>
        <v>11.507352941176471</v>
      </c>
      <c r="L8" s="59">
        <f>SUM(G8:K8)</f>
        <v>0</v>
      </c>
    </row>
    <row r="9" spans="1:12" s="18" customFormat="1" ht="16.5">
      <c r="A9" s="51"/>
      <c r="B9" s="51"/>
      <c r="C9" s="51"/>
      <c r="D9" s="51"/>
      <c r="E9" s="68"/>
      <c r="F9" s="51"/>
      <c r="G9" s="79"/>
      <c r="H9" s="79"/>
      <c r="I9" s="79"/>
      <c r="J9" s="80"/>
      <c r="K9" s="81"/>
      <c r="L9" s="79"/>
    </row>
    <row r="10" spans="1:12" s="18" customFormat="1" ht="16.5">
      <c r="A10" s="51" t="s">
        <v>47</v>
      </c>
      <c r="B10" s="51"/>
      <c r="C10" s="51"/>
      <c r="D10" s="51"/>
      <c r="E10" s="82">
        <v>500</v>
      </c>
      <c r="F10" s="74" t="s">
        <v>29</v>
      </c>
      <c r="G10" s="84">
        <f>-(E10-G8)</f>
        <v>-384.54029411764708</v>
      </c>
      <c r="H10" s="68">
        <f>H8</f>
        <v>163.40088235294118</v>
      </c>
      <c r="I10" s="68">
        <f>I8</f>
        <v>185.45970588235292</v>
      </c>
      <c r="J10" s="83">
        <f>E10+J8</f>
        <v>24.172352941176484</v>
      </c>
      <c r="K10" s="85">
        <f>K8</f>
        <v>11.507352941176471</v>
      </c>
      <c r="L10" s="59">
        <f>SUM(G10:K10)</f>
        <v>-2.1316282072803006E-14</v>
      </c>
    </row>
    <row r="11" spans="1:12" s="18" customFormat="1" ht="16.5">
      <c r="A11" s="51"/>
      <c r="B11" s="51"/>
      <c r="C11" s="51"/>
      <c r="D11" s="51"/>
      <c r="F11" s="71"/>
      <c r="G11" s="68"/>
      <c r="H11" s="51"/>
      <c r="I11" s="68"/>
      <c r="J11" s="71"/>
      <c r="K11" s="51"/>
      <c r="L11" s="51"/>
    </row>
    <row r="12" spans="1:12" s="18" customFormat="1" ht="16.5">
      <c r="B12" s="98" t="s">
        <v>56</v>
      </c>
      <c r="C12" s="97">
        <f>(G5+'Costs reconciliation-1st'!G5)/9</f>
        <v>25.703333333333333</v>
      </c>
      <c r="D12" s="51" t="s">
        <v>55</v>
      </c>
      <c r="E12" s="51"/>
      <c r="F12" s="71"/>
      <c r="G12" s="51"/>
      <c r="H12" s="51"/>
      <c r="I12" s="51"/>
      <c r="J12" s="53"/>
      <c r="K12" s="51"/>
      <c r="L12" s="51"/>
    </row>
    <row r="13" spans="1:12" s="18" customFormat="1" ht="16.5">
      <c r="A13" s="51"/>
      <c r="B13" s="51"/>
      <c r="C13" s="51"/>
      <c r="D13" s="51"/>
      <c r="E13" s="51"/>
      <c r="F13" s="51"/>
      <c r="G13" s="51"/>
      <c r="H13" s="51"/>
      <c r="I13" s="51"/>
      <c r="J13" s="51"/>
      <c r="K13" s="51"/>
      <c r="L13" s="51"/>
    </row>
    <row r="14" spans="1:12">
      <c r="A14" s="50"/>
      <c r="B14" s="50"/>
      <c r="C14" s="50"/>
      <c r="D14" s="50"/>
      <c r="E14" s="50"/>
      <c r="F14" s="50"/>
      <c r="G14" s="50"/>
      <c r="H14" s="50"/>
      <c r="I14" s="50"/>
      <c r="J14" s="50"/>
      <c r="K14" s="50"/>
      <c r="L14" s="50"/>
    </row>
    <row r="15" spans="1:12">
      <c r="A15" s="50"/>
      <c r="B15" s="50"/>
      <c r="C15" s="50"/>
      <c r="D15" s="50"/>
      <c r="E15" s="50"/>
      <c r="F15" s="50"/>
      <c r="G15" s="50"/>
      <c r="H15" s="50"/>
      <c r="I15" s="50"/>
      <c r="J15" s="50"/>
      <c r="K15" s="50"/>
      <c r="L15" s="50"/>
    </row>
    <row r="16" spans="1:12">
      <c r="A16" s="50"/>
      <c r="B16" s="50"/>
      <c r="C16" s="50"/>
      <c r="D16" s="50"/>
      <c r="E16" s="50"/>
      <c r="F16" s="72"/>
      <c r="G16" s="50"/>
      <c r="H16" s="50"/>
      <c r="I16" s="50"/>
      <c r="J16" s="50"/>
      <c r="K16" s="50"/>
      <c r="L16" s="50"/>
    </row>
    <row r="17" spans="1:12">
      <c r="A17" s="50"/>
      <c r="B17" s="50"/>
      <c r="C17" s="50"/>
      <c r="D17" s="50"/>
      <c r="E17" s="50"/>
      <c r="F17" s="50"/>
      <c r="G17" s="50"/>
      <c r="H17" s="50"/>
      <c r="I17" s="50"/>
      <c r="J17" s="50"/>
      <c r="K17" s="50"/>
      <c r="L17" s="50"/>
    </row>
    <row r="18" spans="1:12">
      <c r="A18" s="50"/>
      <c r="B18" s="50"/>
      <c r="C18" s="50"/>
      <c r="D18" s="50"/>
      <c r="E18" s="50"/>
      <c r="F18" s="50" t="s">
        <v>43</v>
      </c>
      <c r="G18" s="72" t="s">
        <v>43</v>
      </c>
      <c r="H18" s="50"/>
      <c r="I18" s="50"/>
      <c r="J18" s="50"/>
      <c r="K18" s="50"/>
      <c r="L18" s="50"/>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
  <sheetViews>
    <sheetView topLeftCell="B1" workbookViewId="0">
      <selection activeCell="B16" sqref="B16"/>
    </sheetView>
  </sheetViews>
  <sheetFormatPr defaultRowHeight="12.75"/>
  <cols>
    <col min="1" max="1" width="33" customWidth="1"/>
    <col min="2" max="2" width="41.5703125" customWidth="1"/>
    <col min="3" max="3" width="12.7109375" customWidth="1"/>
    <col min="4" max="4" width="8" customWidth="1"/>
    <col min="5" max="5" width="9.85546875" customWidth="1"/>
    <col min="6" max="6" width="8.85546875" customWidth="1"/>
    <col min="7" max="7" width="9.42578125" customWidth="1"/>
    <col min="8" max="8" width="9.140625" customWidth="1"/>
    <col min="9" max="9" width="12.140625" customWidth="1"/>
    <col min="10" max="10" width="11.85546875" customWidth="1"/>
    <col min="11" max="11" width="11.5703125" customWidth="1"/>
    <col min="12" max="12" width="8.7109375" customWidth="1"/>
  </cols>
  <sheetData>
    <row r="2" spans="1:12" s="18" customFormat="1" ht="14.25">
      <c r="H2"/>
      <c r="J2"/>
      <c r="K2"/>
    </row>
    <row r="3" spans="1:12" s="18" customFormat="1" ht="15">
      <c r="F3" s="23" t="s">
        <v>28</v>
      </c>
      <c r="G3" s="27" t="s">
        <v>31</v>
      </c>
      <c r="H3" s="27" t="s">
        <v>32</v>
      </c>
      <c r="I3" s="27" t="s">
        <v>33</v>
      </c>
      <c r="J3" s="27" t="s">
        <v>34</v>
      </c>
      <c r="K3" s="30" t="s">
        <v>35</v>
      </c>
      <c r="L3" s="25" t="s">
        <v>36</v>
      </c>
    </row>
    <row r="4" spans="1:12" s="18" customFormat="1" ht="15">
      <c r="E4" s="22" t="s">
        <v>27</v>
      </c>
      <c r="F4" s="24"/>
      <c r="G4" s="99">
        <v>0.3</v>
      </c>
      <c r="H4" s="100">
        <v>0.2</v>
      </c>
      <c r="I4" s="101">
        <v>0.2</v>
      </c>
      <c r="J4" s="102"/>
      <c r="K4" s="99">
        <v>0.3</v>
      </c>
      <c r="L4" s="25"/>
    </row>
    <row r="5" spans="1:12" s="18" customFormat="1" ht="15">
      <c r="A5" s="18" t="s">
        <v>41</v>
      </c>
      <c r="B5" s="19" t="s">
        <v>54</v>
      </c>
      <c r="C5" s="42">
        <v>250</v>
      </c>
      <c r="D5" s="43">
        <v>0.68</v>
      </c>
      <c r="E5" s="20">
        <f>C5/D5</f>
        <v>367.64705882352939</v>
      </c>
      <c r="F5" s="23" t="s">
        <v>30</v>
      </c>
      <c r="G5" s="103">
        <f>E5*G4</f>
        <v>110.29411764705881</v>
      </c>
      <c r="H5" s="103">
        <f>(E5*H4)-E5</f>
        <v>-294.11764705882354</v>
      </c>
      <c r="I5" s="103">
        <f>E5*I4</f>
        <v>73.529411764705884</v>
      </c>
      <c r="J5" s="104"/>
      <c r="K5" s="105">
        <f>E5*K4</f>
        <v>110.29411764705881</v>
      </c>
      <c r="L5" s="59">
        <f>SUM(G5:K5)</f>
        <v>0</v>
      </c>
    </row>
    <row r="6" spans="1:12" s="18" customFormat="1" ht="15">
      <c r="B6" s="19"/>
      <c r="C6" s="42"/>
      <c r="D6" s="43"/>
      <c r="E6" s="20"/>
      <c r="F6" s="23"/>
      <c r="G6" s="28"/>
      <c r="H6" s="28"/>
      <c r="I6" s="28"/>
      <c r="J6" s="25"/>
      <c r="K6" s="47"/>
      <c r="L6" s="59"/>
    </row>
    <row r="7" spans="1:12" s="18" customFormat="1" ht="15">
      <c r="A7" s="18" t="s">
        <v>25</v>
      </c>
      <c r="B7" s="18" t="s">
        <v>44</v>
      </c>
      <c r="C7" s="42">
        <v>28.09</v>
      </c>
      <c r="D7" s="44">
        <f>D5</f>
        <v>0.68</v>
      </c>
      <c r="E7" s="20">
        <f>C7/D7</f>
        <v>41.308823529411761</v>
      </c>
      <c r="F7" s="23" t="s">
        <v>45</v>
      </c>
      <c r="G7" s="28">
        <f>$E$7/4</f>
        <v>10.32720588235294</v>
      </c>
      <c r="H7" s="28">
        <f>$E$7/4</f>
        <v>10.32720588235294</v>
      </c>
      <c r="I7" s="28">
        <f>$E$7/4</f>
        <v>10.32720588235294</v>
      </c>
      <c r="J7" s="25"/>
      <c r="K7" s="32">
        <f>($E$7/4)-E7</f>
        <v>-30.981617647058819</v>
      </c>
      <c r="L7" s="59">
        <f t="shared" ref="L7:L11" si="0">SUM(G7:K7)</f>
        <v>0</v>
      </c>
    </row>
    <row r="8" spans="1:12" s="18" customFormat="1" ht="15">
      <c r="B8" s="18" t="s">
        <v>44</v>
      </c>
      <c r="C8" s="42">
        <v>54.83</v>
      </c>
      <c r="D8" s="44">
        <f>D7</f>
        <v>0.68</v>
      </c>
      <c r="E8" s="20">
        <f>C8/D8</f>
        <v>80.632352941176464</v>
      </c>
      <c r="F8" s="23" t="s">
        <v>45</v>
      </c>
      <c r="G8" s="28">
        <f>$E$8/4</f>
        <v>20.158088235294116</v>
      </c>
      <c r="H8" s="28">
        <f>$E$8/4</f>
        <v>20.158088235294116</v>
      </c>
      <c r="I8" s="28">
        <f>$E$8/4</f>
        <v>20.158088235294116</v>
      </c>
      <c r="J8" s="91">
        <v>25</v>
      </c>
      <c r="K8" s="32">
        <f>($E$8/4)-E8-J8</f>
        <v>-85.474264705882348</v>
      </c>
      <c r="L8" s="59">
        <f t="shared" si="0"/>
        <v>0</v>
      </c>
    </row>
    <row r="9" spans="1:12" s="18" customFormat="1" ht="15">
      <c r="B9" s="18" t="s">
        <v>59</v>
      </c>
      <c r="C9" s="42">
        <v>21.18</v>
      </c>
      <c r="D9" s="88">
        <f>C9/E9</f>
        <v>0.69215686274509802</v>
      </c>
      <c r="E9" s="20">
        <v>30.6</v>
      </c>
      <c r="F9" s="23" t="s">
        <v>29</v>
      </c>
      <c r="G9" s="28">
        <f>($E$9/4)-E9</f>
        <v>-22.950000000000003</v>
      </c>
      <c r="H9" s="28">
        <f>$E$9/4</f>
        <v>7.65</v>
      </c>
      <c r="I9" s="28">
        <f>$E$9/4</f>
        <v>7.65</v>
      </c>
      <c r="J9" s="25"/>
      <c r="K9" s="32">
        <f>$E$9/4</f>
        <v>7.65</v>
      </c>
      <c r="L9" s="59">
        <f t="shared" si="0"/>
        <v>0</v>
      </c>
    </row>
    <row r="10" spans="1:12" s="18" customFormat="1" ht="15">
      <c r="B10" s="18" t="s">
        <v>60</v>
      </c>
      <c r="C10" s="42">
        <f>E10*D10</f>
        <v>116.92280000000001</v>
      </c>
      <c r="D10" s="44">
        <f>D8</f>
        <v>0.68</v>
      </c>
      <c r="E10" s="20">
        <f>208.71-E11</f>
        <v>171.94529411764705</v>
      </c>
      <c r="F10" s="23" t="str">
        <f>F11</f>
        <v>Syd</v>
      </c>
      <c r="G10" s="28">
        <f>$E$10/4</f>
        <v>42.986323529411763</v>
      </c>
      <c r="H10" s="28">
        <f>($E$10/4)-E10</f>
        <v>-128.95897058823527</v>
      </c>
      <c r="I10" s="28">
        <f>$E$10/4</f>
        <v>42.986323529411763</v>
      </c>
      <c r="J10" s="91">
        <f>$E$10/4/2</f>
        <v>21.493161764705881</v>
      </c>
      <c r="K10" s="32">
        <f>$E$10/4/2</f>
        <v>21.493161764705881</v>
      </c>
      <c r="L10" s="59"/>
    </row>
    <row r="11" spans="1:12" s="18" customFormat="1" ht="15">
      <c r="A11" s="34" t="s">
        <v>37</v>
      </c>
      <c r="B11" s="34" t="s">
        <v>61</v>
      </c>
      <c r="C11" s="35">
        <v>25</v>
      </c>
      <c r="D11" s="48">
        <f>D7</f>
        <v>0.68</v>
      </c>
      <c r="E11" s="49">
        <f>C11/D11</f>
        <v>36.764705882352942</v>
      </c>
      <c r="F11" s="89" t="s">
        <v>30</v>
      </c>
      <c r="G11" s="45">
        <f>E11</f>
        <v>36.764705882352942</v>
      </c>
      <c r="H11" s="38">
        <f>-E11</f>
        <v>-36.764705882352942</v>
      </c>
      <c r="I11" s="37"/>
      <c r="J11" s="37"/>
      <c r="K11" s="39"/>
      <c r="L11" s="90">
        <f t="shared" si="0"/>
        <v>0</v>
      </c>
    </row>
    <row r="12" spans="1:12" s="18" customFormat="1" ht="14.25">
      <c r="E12" s="21">
        <f>SUM(E5:E11)</f>
        <v>728.89823529411751</v>
      </c>
      <c r="G12" s="26">
        <f>SUM(G5:G11)</f>
        <v>197.58044117647057</v>
      </c>
      <c r="H12" s="26">
        <f>SUM(H5:H11)</f>
        <v>-421.70602941176469</v>
      </c>
      <c r="I12" s="26">
        <f>SUM(I5:I11)</f>
        <v>154.65102941176471</v>
      </c>
      <c r="J12" s="29">
        <f>SUM(J5:J11)</f>
        <v>46.493161764705881</v>
      </c>
      <c r="K12" s="33">
        <f>SUM(K5:K11)</f>
        <v>22.981397058823532</v>
      </c>
      <c r="L12" s="26">
        <f>SUM(G12:K12)</f>
        <v>0</v>
      </c>
    </row>
    <row r="13" spans="1:12" s="18" customFormat="1" ht="7.5" customHeight="1">
      <c r="E13" s="21"/>
      <c r="G13" s="95"/>
      <c r="H13" s="95"/>
      <c r="I13" s="95"/>
      <c r="J13" s="96"/>
      <c r="K13" s="96"/>
      <c r="L13" s="95"/>
    </row>
    <row r="14" spans="1:12" ht="14.25">
      <c r="B14" s="18" t="s">
        <v>57</v>
      </c>
    </row>
    <row r="15" spans="1:12" ht="14.25">
      <c r="B15" s="18" t="s">
        <v>62</v>
      </c>
    </row>
    <row r="16" spans="1:12" ht="14.25">
      <c r="B16" s="18" t="s">
        <v>58</v>
      </c>
    </row>
    <row r="17" spans="2:3" ht="14.25">
      <c r="B17" s="18"/>
      <c r="C17" s="46"/>
    </row>
    <row r="18" spans="2:3">
      <c r="B18" t="s">
        <v>43</v>
      </c>
    </row>
    <row r="19" spans="2:3">
      <c r="B19" s="46"/>
      <c r="C19" s="46"/>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topLeftCell="B1" workbookViewId="0">
      <selection activeCell="C12" sqref="C12"/>
    </sheetView>
  </sheetViews>
  <sheetFormatPr defaultRowHeight="12.75"/>
  <cols>
    <col min="1" max="1" width="33" customWidth="1"/>
    <col min="2" max="2" width="32.42578125" customWidth="1"/>
    <col min="3" max="3" width="9.42578125" customWidth="1"/>
    <col min="4" max="4" width="9.140625" customWidth="1"/>
    <col min="5" max="5" width="12.140625" customWidth="1"/>
    <col min="6" max="6" width="11.85546875" customWidth="1"/>
    <col min="7" max="7" width="11.5703125" customWidth="1"/>
    <col min="8" max="8" width="8.7109375" customWidth="1"/>
  </cols>
  <sheetData>
    <row r="1" spans="1:8" ht="15">
      <c r="B1" s="24" t="s">
        <v>50</v>
      </c>
    </row>
    <row r="2" spans="1:8" s="18" customFormat="1" ht="14.25">
      <c r="D2"/>
      <c r="F2"/>
      <c r="G2"/>
    </row>
    <row r="3" spans="1:8" s="18" customFormat="1" ht="14.25">
      <c r="C3" s="27" t="s">
        <v>31</v>
      </c>
      <c r="D3" s="27" t="s">
        <v>32</v>
      </c>
      <c r="E3" s="27" t="s">
        <v>33</v>
      </c>
      <c r="F3" s="27" t="s">
        <v>34</v>
      </c>
      <c r="G3" s="30" t="s">
        <v>35</v>
      </c>
      <c r="H3" s="25" t="s">
        <v>36</v>
      </c>
    </row>
    <row r="4" spans="1:8" s="18" customFormat="1" ht="14.25">
      <c r="A4" s="18" t="s">
        <v>41</v>
      </c>
      <c r="B4" s="19" t="s">
        <v>48</v>
      </c>
      <c r="C4" s="28">
        <f>'Costs reconciliation-2nd'!G10</f>
        <v>-384.54029411764708</v>
      </c>
      <c r="D4" s="28">
        <f>'Costs reconciliation-2nd'!H10</f>
        <v>163.40088235294118</v>
      </c>
      <c r="E4" s="28">
        <f>'Costs reconciliation-2nd'!I10</f>
        <v>185.45970588235292</v>
      </c>
      <c r="F4" s="92">
        <f>'Costs reconciliation-2nd'!J10</f>
        <v>24.172352941176484</v>
      </c>
      <c r="G4" s="47">
        <f>'Costs reconciliation-2nd'!K10</f>
        <v>11.507352941176471</v>
      </c>
      <c r="H4" s="26">
        <f>SUM(C4:G4)</f>
        <v>-2.1316282072803006E-14</v>
      </c>
    </row>
    <row r="5" spans="1:8" s="18" customFormat="1" ht="14.25">
      <c r="B5" s="19" t="s">
        <v>49</v>
      </c>
      <c r="C5" s="93">
        <f>'Costs reconciliation-3rd'!G12</f>
        <v>197.58044117647057</v>
      </c>
      <c r="D5" s="93">
        <f>'Costs reconciliation-3rd'!H12</f>
        <v>-421.70602941176469</v>
      </c>
      <c r="E5" s="93">
        <f>'Costs reconciliation-3rd'!I12</f>
        <v>154.65102941176471</v>
      </c>
      <c r="F5" s="93">
        <f>'Costs reconciliation-3rd'!J12</f>
        <v>46.493161764705881</v>
      </c>
      <c r="G5" s="93">
        <f>'Costs reconciliation-3rd'!K12</f>
        <v>22.981397058823532</v>
      </c>
      <c r="H5" s="94">
        <f>SUM(C5:G5)</f>
        <v>0</v>
      </c>
    </row>
    <row r="6" spans="1:8" s="18" customFormat="1" ht="4.5" customHeight="1">
      <c r="B6" s="19"/>
      <c r="C6" s="28"/>
      <c r="D6" s="28"/>
      <c r="E6" s="28"/>
      <c r="F6" s="28"/>
      <c r="G6" s="28"/>
      <c r="H6" s="26"/>
    </row>
    <row r="7" spans="1:8" s="18" customFormat="1" ht="14.25">
      <c r="C7" s="26">
        <f>SUM(C4:C5)</f>
        <v>-186.95985294117651</v>
      </c>
      <c r="D7" s="26">
        <f>SUM(D4:D5)</f>
        <v>-258.30514705882354</v>
      </c>
      <c r="E7" s="26">
        <f>SUM(E4:E5)</f>
        <v>340.1107352941176</v>
      </c>
      <c r="F7" s="29">
        <f>SUM(F4:F5)</f>
        <v>70.665514705882373</v>
      </c>
      <c r="G7" s="33">
        <f>SUM(G4:G5)</f>
        <v>34.488750000000003</v>
      </c>
      <c r="H7" s="26">
        <f>SUM(C7:G7)</f>
        <v>-6.3948846218409017E-14</v>
      </c>
    </row>
    <row r="9" spans="1:8">
      <c r="C9" s="40">
        <f>'Costs reconciliation-1st'!F8</f>
        <v>-115.27403846153854</v>
      </c>
    </row>
    <row r="10" spans="1:8">
      <c r="B10" t="s">
        <v>43</v>
      </c>
    </row>
    <row r="11" spans="1:8">
      <c r="B11" t="s">
        <v>43</v>
      </c>
      <c r="C11" s="40">
        <f>C7+C9</f>
        <v>-302.23389140271502</v>
      </c>
    </row>
    <row r="12" spans="1:8">
      <c r="B12" s="46"/>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Car rentals</vt:lpstr>
      <vt:lpstr>Costs reconciliation-1st</vt:lpstr>
      <vt:lpstr>Costs reconciliation-2nd</vt:lpstr>
      <vt:lpstr>Costs reconciliation-3rd</vt:lpstr>
      <vt:lpstr>Summary 2nd 3rd costs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dc:creator>
  <cp:lastModifiedBy>Johnston</cp:lastModifiedBy>
  <dcterms:created xsi:type="dcterms:W3CDTF">2013-07-31T22:12:29Z</dcterms:created>
  <dcterms:modified xsi:type="dcterms:W3CDTF">2013-10-08T07:42:37Z</dcterms:modified>
</cp:coreProperties>
</file>