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ocuments\My Web Sites\Muggaccinos\Punishment\ProductivityCommission\"/>
    </mc:Choice>
  </mc:AlternateContent>
  <bookViews>
    <workbookView xWindow="0" yWindow="0" windowWidth="28800" windowHeight="12165"/>
  </bookViews>
  <sheets>
    <sheet name="Expenditure&amp;4castPrisonerReduc " sheetId="1" r:id="rId1"/>
  </sheets>
  <definedNames>
    <definedName name="_xlnm.Print_Titles" localSheetId="0">'Expenditure&amp;4castPrisonerReduc '!$2:$3</definedName>
    <definedName name="Z_B3C8EE12_6B1B_423B_87CF_6A3E326D979E_.wvu.PrintTitles" localSheetId="0" hidden="1">'Expenditure&amp;4castPrisonerReduc 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8" i="1" l="1"/>
  <c r="Y7" i="1"/>
  <c r="Y6" i="1"/>
  <c r="Y5" i="1"/>
  <c r="V15" i="1" l="1"/>
  <c r="V8" i="1"/>
  <c r="V7" i="1"/>
  <c r="V6" i="1"/>
  <c r="V5" i="1"/>
  <c r="Y9" i="1" s="1"/>
  <c r="Y11" i="1" l="1"/>
  <c r="Y12" i="1"/>
  <c r="Y13" i="1"/>
  <c r="Y14" i="1"/>
  <c r="AQ6" i="1"/>
  <c r="AX5" i="1"/>
  <c r="AC8" i="1"/>
  <c r="AJ5" i="1"/>
  <c r="AQ5" i="1"/>
  <c r="AB5" i="1"/>
  <c r="AC5" i="1"/>
  <c r="AD5" i="1" s="1"/>
  <c r="AW6" i="1"/>
  <c r="AP7" i="1"/>
  <c r="AI8" i="1"/>
  <c r="AI5" i="1"/>
  <c r="AB6" i="1"/>
  <c r="AX6" i="1"/>
  <c r="AQ7" i="1"/>
  <c r="AJ8" i="1"/>
  <c r="AC6" i="1"/>
  <c r="AW8" i="1"/>
  <c r="AW5" i="1"/>
  <c r="AY5" i="1" s="1"/>
  <c r="AP6" i="1"/>
  <c r="AS6" i="1" s="1"/>
  <c r="AT6" i="1" s="1"/>
  <c r="AI7" i="1"/>
  <c r="AB8" i="1"/>
  <c r="AX8" i="1"/>
  <c r="AW7" i="1"/>
  <c r="AP8" i="1"/>
  <c r="AJ7" i="1"/>
  <c r="AP5" i="1"/>
  <c r="AI6" i="1"/>
  <c r="AB7" i="1"/>
  <c r="AX7" i="1"/>
  <c r="AQ8" i="1"/>
  <c r="AJ6" i="1"/>
  <c r="AC7" i="1"/>
  <c r="V9" i="1"/>
  <c r="W8" i="1" s="1"/>
  <c r="V14" i="1" s="1"/>
  <c r="Y15" i="1" l="1"/>
  <c r="W7" i="1"/>
  <c r="V13" i="1" s="1"/>
  <c r="AL8" i="1"/>
  <c r="AZ6" i="1"/>
  <c r="BA6" i="1" s="1"/>
  <c r="W5" i="1"/>
  <c r="AC9" i="1"/>
  <c r="AZ7" i="1"/>
  <c r="BA7" i="1" s="1"/>
  <c r="AQ9" i="1"/>
  <c r="W6" i="1"/>
  <c r="V12" i="1" s="1"/>
  <c r="AE8" i="1"/>
  <c r="AF8" i="1" s="1"/>
  <c r="AM8" i="1"/>
  <c r="AE5" i="1"/>
  <c r="AE7" i="1"/>
  <c r="AL6" i="1"/>
  <c r="AJ9" i="1"/>
  <c r="AR6" i="1"/>
  <c r="AS8" i="1"/>
  <c r="AT8" i="1" s="1"/>
  <c r="AI9" i="1"/>
  <c r="AL5" i="1"/>
  <c r="AB9" i="1"/>
  <c r="AS5" i="1"/>
  <c r="AP9" i="1"/>
  <c r="AZ8" i="1"/>
  <c r="AK8" i="1"/>
  <c r="AS7" i="1"/>
  <c r="AT7" i="1" s="1"/>
  <c r="AY8" i="1"/>
  <c r="AK7" i="1"/>
  <c r="AL7" i="1"/>
  <c r="AR5" i="1"/>
  <c r="AY7" i="1"/>
  <c r="AD7" i="1"/>
  <c r="AK6" i="1"/>
  <c r="AW9" i="1"/>
  <c r="AZ5" i="1"/>
  <c r="AD6" i="1"/>
  <c r="AY6" i="1"/>
  <c r="AX9" i="1"/>
  <c r="AR7" i="1"/>
  <c r="AR8" i="1"/>
  <c r="AD8" i="1"/>
  <c r="AK5" i="1"/>
  <c r="AE6" i="1"/>
  <c r="W9" i="1" l="1"/>
  <c r="V11" i="1"/>
  <c r="AF7" i="1"/>
  <c r="AM6" i="1"/>
  <c r="AF5" i="1"/>
  <c r="AK9" i="1"/>
  <c r="AM7" i="1"/>
  <c r="AY9" i="1"/>
  <c r="BA8" i="1"/>
  <c r="AE9" i="1"/>
  <c r="AE14" i="1" s="1"/>
  <c r="AF6" i="1"/>
  <c r="AM5" i="1"/>
  <c r="AL9" i="1"/>
  <c r="AL14" i="1" s="1"/>
  <c r="AD9" i="1"/>
  <c r="AZ9" i="1"/>
  <c r="BA5" i="1"/>
  <c r="AR9" i="1"/>
  <c r="AS9" i="1"/>
  <c r="AS11" i="1" s="1"/>
  <c r="AT5" i="1"/>
  <c r="AE11" i="1" l="1"/>
  <c r="AL13" i="1"/>
  <c r="AL12" i="1"/>
  <c r="AE12" i="1"/>
  <c r="AE13" i="1"/>
  <c r="AE15" i="1" s="1"/>
  <c r="AL11" i="1"/>
  <c r="AL15" i="1" s="1"/>
  <c r="AZ13" i="1"/>
  <c r="AZ11" i="1"/>
  <c r="AZ12" i="1"/>
  <c r="AZ14" i="1"/>
  <c r="AS13" i="1"/>
  <c r="AS12" i="1"/>
  <c r="AS14" i="1"/>
  <c r="AS15" i="1" l="1"/>
  <c r="AZ15" i="1"/>
</calcChain>
</file>

<file path=xl/sharedStrings.xml><?xml version="1.0" encoding="utf-8"?>
<sst xmlns="http://schemas.openxmlformats.org/spreadsheetml/2006/main" count="105" uniqueCount="48">
  <si>
    <r>
      <rPr>
        <i/>
        <sz val="10"/>
        <color rgb="FF000000"/>
        <rFont val="Arial"/>
        <family val="2"/>
      </rPr>
      <t>Real recurrent expenditure</t>
    </r>
    <r>
      <rPr>
        <sz val="10"/>
        <color rgb="FF000000"/>
        <rFont val="Arial"/>
        <family val="2"/>
      </rPr>
      <t xml:space="preserve"> (c), (d)</t>
    </r>
  </si>
  <si>
    <t>annual expenditure</t>
  </si>
  <si>
    <t>annual   expenditure</t>
  </si>
  <si>
    <t xml:space="preserve">after  </t>
  </si>
  <si>
    <t>per column T</t>
  </si>
  <si>
    <t>after 2 years</t>
  </si>
  <si>
    <t>for 2nd year</t>
  </si>
  <si>
    <t xml:space="preserve">after </t>
  </si>
  <si>
    <t>after 5 years</t>
  </si>
  <si>
    <t>for 5th year</t>
  </si>
  <si>
    <t>after 10 years</t>
  </si>
  <si>
    <t>for 10th year</t>
  </si>
  <si>
    <t>after 15 years</t>
  </si>
  <si>
    <t>for 15th year</t>
  </si>
  <si>
    <t>2 years</t>
  </si>
  <si>
    <t>from column X</t>
  </si>
  <si>
    <t>Column Y+Z</t>
  </si>
  <si>
    <t xml:space="preserve"> </t>
  </si>
  <si>
    <t>5 years</t>
  </si>
  <si>
    <t>Column AF+AG</t>
  </si>
  <si>
    <t>10 years</t>
  </si>
  <si>
    <t>Column AM+AN</t>
  </si>
  <si>
    <t>15 years</t>
  </si>
  <si>
    <t>Column AT+AU</t>
  </si>
  <si>
    <t>Police services</t>
  </si>
  <si>
    <t>$m</t>
  </si>
  <si>
    <t>%</t>
  </si>
  <si>
    <t>Courts - criminal</t>
  </si>
  <si>
    <t>Courts - civil (f)</t>
  </si>
  <si>
    <t>Corrective services</t>
  </si>
  <si>
    <t>Total Justice sector</t>
  </si>
  <si>
    <t>Courts - civil</t>
  </si>
  <si>
    <t>(2020-21)</t>
  </si>
  <si>
    <t>(2023-24)</t>
  </si>
  <si>
    <t>(2028-29)</t>
  </si>
  <si>
    <t>(2033-34)</t>
  </si>
  <si>
    <t>Annual % reduction in costs</t>
  </si>
  <si>
    <t>Net annual expenditure</t>
  </si>
  <si>
    <t>Net annual    expenditure</t>
  </si>
  <si>
    <t>Annual &amp; reduction in costs</t>
  </si>
  <si>
    <t>Column Q in dollars          2018-19</t>
  </si>
  <si>
    <t>rate</t>
  </si>
  <si>
    <t xml:space="preserve">Ave. annual growth </t>
  </si>
  <si>
    <t>increase continues</t>
  </si>
  <si>
    <t>if last 5 years' rate</t>
  </si>
  <si>
    <t/>
  </si>
  <si>
    <t>Justice Sector costs in 10 years for 12 mths 2028-29</t>
  </si>
  <si>
    <t>ForecastReductionInCriminalActivityAndCorrectionalExpenditure_SummaryData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</si>
</sst>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"/>
    <numFmt numFmtId="165" formatCode="##\ ##0"/>
    <numFmt numFmtId="166" formatCode="0.0%"/>
    <numFmt numFmtId="167" formatCode="&quot;$&quot;#,##0"/>
    <numFmt numFmtId="168" formatCode="##0"/>
    <numFmt numFmtId="169" formatCode="#\ ##0"/>
    <numFmt numFmtId="170" formatCode="#0.0"/>
    <numFmt numFmtId="171" formatCode="##0.0"/>
    <numFmt numFmtId="172" formatCode="&quot;$&quot;#,##0.0"/>
  </numFmts>
  <fonts count="21" x14ac:knownFonts="1"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rgb="FFFF0000"/>
      <name val="Arial Narrow"/>
      <family val="2"/>
    </font>
    <font>
      <b/>
      <sz val="11"/>
      <color theme="1"/>
      <name val="Arial Narrow"/>
      <family val="2"/>
    </font>
    <font>
      <b/>
      <u/>
      <sz val="11"/>
      <color rgb="FF000000"/>
      <name val="Arial Narrow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5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16">
    <xf numFmtId="0" fontId="0" fillId="0" borderId="0" xfId="0"/>
    <xf numFmtId="0" fontId="0" fillId="0" borderId="0" xfId="0" applyProtection="1"/>
    <xf numFmtId="0" fontId="2" fillId="2" borderId="0" xfId="0" applyFont="1" applyFill="1" applyAlignment="1">
      <alignment horizontal="center" wrapText="1"/>
    </xf>
    <xf numFmtId="0" fontId="0" fillId="3" borderId="0" xfId="0" applyFill="1" applyProtection="1"/>
    <xf numFmtId="0" fontId="0" fillId="2" borderId="0" xfId="0" applyFill="1"/>
    <xf numFmtId="0" fontId="3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164" fontId="4" fillId="0" borderId="1" xfId="0" applyNumberFormat="1" applyFont="1" applyBorder="1" applyAlignment="1" applyProtection="1">
      <alignment horizontal="left" vertical="center"/>
    </xf>
    <xf numFmtId="164" fontId="4" fillId="0" borderId="0" xfId="0" applyNumberFormat="1" applyFont="1" applyAlignment="1" applyProtection="1">
      <alignment horizontal="left" vertical="center"/>
    </xf>
    <xf numFmtId="0" fontId="6" fillId="3" borderId="0" xfId="0" applyFont="1" applyFill="1" applyAlignment="1" applyProtection="1">
      <alignment horizontal="center" wrapText="1"/>
    </xf>
    <xf numFmtId="0" fontId="3" fillId="4" borderId="0" xfId="0" applyFont="1" applyFill="1" applyAlignment="1">
      <alignment horizontal="center" wrapText="1"/>
    </xf>
    <xf numFmtId="164" fontId="5" fillId="0" borderId="0" xfId="0" applyNumberFormat="1" applyFont="1" applyAlignment="1" applyProtection="1">
      <alignment horizontal="left" vertical="center"/>
    </xf>
    <xf numFmtId="164" fontId="5" fillId="0" borderId="0" xfId="0" applyNumberFormat="1" applyFont="1" applyBorder="1" applyAlignment="1" applyProtection="1">
      <alignment horizontal="left" vertical="center"/>
    </xf>
    <xf numFmtId="164" fontId="5" fillId="0" borderId="0" xfId="0" applyNumberFormat="1" applyFont="1" applyBorder="1" applyAlignment="1" applyProtection="1">
      <alignment horizontal="center" vertical="center"/>
    </xf>
    <xf numFmtId="164" fontId="5" fillId="0" borderId="0" xfId="0" applyNumberFormat="1" applyFont="1" applyBorder="1" applyAlignment="1" applyProtection="1">
      <alignment horizontal="right" vertical="center"/>
    </xf>
    <xf numFmtId="0" fontId="3" fillId="4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164" fontId="4" fillId="0" borderId="0" xfId="0" applyNumberFormat="1" applyFont="1" applyAlignment="1" applyProtection="1">
      <alignment horizontal="center" vertical="center"/>
    </xf>
    <xf numFmtId="165" fontId="4" fillId="0" borderId="0" xfId="0" applyNumberFormat="1" applyFont="1" applyAlignment="1" applyProtection="1">
      <alignment horizontal="right" vertical="center"/>
    </xf>
    <xf numFmtId="166" fontId="7" fillId="0" borderId="0" xfId="0" applyNumberFormat="1" applyFont="1" applyAlignment="1" applyProtection="1">
      <alignment horizontal="center" vertical="center"/>
    </xf>
    <xf numFmtId="167" fontId="3" fillId="3" borderId="0" xfId="0" applyNumberFormat="1" applyFont="1" applyFill="1" applyProtection="1"/>
    <xf numFmtId="167" fontId="3" fillId="2" borderId="0" xfId="0" applyNumberFormat="1" applyFont="1" applyFill="1"/>
    <xf numFmtId="9" fontId="3" fillId="4" borderId="0" xfId="0" applyNumberFormat="1" applyFont="1" applyFill="1" applyAlignment="1">
      <alignment horizontal="center" vertical="center"/>
    </xf>
    <xf numFmtId="167" fontId="3" fillId="5" borderId="0" xfId="0" applyNumberFormat="1" applyFont="1" applyFill="1" applyAlignment="1">
      <alignment horizontal="center" vertical="center"/>
    </xf>
    <xf numFmtId="167" fontId="3" fillId="4" borderId="0" xfId="0" applyNumberFormat="1" applyFont="1" applyFill="1" applyAlignment="1">
      <alignment horizontal="right" vertical="center"/>
    </xf>
    <xf numFmtId="167" fontId="3" fillId="6" borderId="0" xfId="0" applyNumberFormat="1" applyFont="1" applyFill="1" applyAlignment="1">
      <alignment horizontal="right" vertical="center"/>
    </xf>
    <xf numFmtId="167" fontId="3" fillId="4" borderId="0" xfId="0" applyNumberFormat="1" applyFont="1" applyFill="1"/>
    <xf numFmtId="166" fontId="8" fillId="4" borderId="0" xfId="0" applyNumberFormat="1" applyFont="1" applyFill="1"/>
    <xf numFmtId="0" fontId="9" fillId="2" borderId="0" xfId="0" applyFont="1" applyFill="1" applyAlignment="1">
      <alignment horizontal="center" wrapText="1"/>
    </xf>
    <xf numFmtId="166" fontId="3" fillId="4" borderId="0" xfId="0" applyNumberFormat="1" applyFont="1" applyFill="1" applyAlignment="1">
      <alignment horizontal="center" vertical="center"/>
    </xf>
    <xf numFmtId="168" fontId="4" fillId="0" borderId="0" xfId="0" applyNumberFormat="1" applyFont="1" applyAlignment="1" applyProtection="1">
      <alignment horizontal="right" vertical="center"/>
    </xf>
    <xf numFmtId="9" fontId="3" fillId="4" borderId="0" xfId="1" applyFont="1" applyFill="1" applyAlignment="1">
      <alignment horizontal="center" vertical="center"/>
    </xf>
    <xf numFmtId="169" fontId="4" fillId="0" borderId="0" xfId="0" applyNumberFormat="1" applyFont="1" applyAlignment="1" applyProtection="1">
      <alignment horizontal="right" vertical="center"/>
    </xf>
    <xf numFmtId="167" fontId="10" fillId="3" borderId="0" xfId="0" applyNumberFormat="1" applyFont="1" applyFill="1" applyProtection="1"/>
    <xf numFmtId="167" fontId="10" fillId="2" borderId="0" xfId="0" applyNumberFormat="1" applyFont="1" applyFill="1"/>
    <xf numFmtId="167" fontId="10" fillId="5" borderId="0" xfId="0" applyNumberFormat="1" applyFont="1" applyFill="1" applyAlignment="1">
      <alignment horizontal="center" vertical="center"/>
    </xf>
    <xf numFmtId="167" fontId="10" fillId="4" borderId="0" xfId="0" applyNumberFormat="1" applyFont="1" applyFill="1" applyAlignment="1">
      <alignment horizontal="right" vertical="center"/>
    </xf>
    <xf numFmtId="167" fontId="10" fillId="6" borderId="0" xfId="0" applyNumberFormat="1" applyFont="1" applyFill="1" applyAlignment="1">
      <alignment horizontal="right" vertical="center"/>
    </xf>
    <xf numFmtId="167" fontId="10" fillId="4" borderId="0" xfId="0" applyNumberFormat="1" applyFont="1" applyFill="1"/>
    <xf numFmtId="9" fontId="3" fillId="4" borderId="0" xfId="1" applyNumberFormat="1" applyFont="1" applyFill="1" applyAlignment="1">
      <alignment horizontal="center" vertical="center"/>
    </xf>
    <xf numFmtId="167" fontId="3" fillId="6" borderId="0" xfId="0" applyNumberFormat="1" applyFont="1" applyFill="1" applyAlignment="1">
      <alignment horizontal="center" vertical="center"/>
    </xf>
    <xf numFmtId="10" fontId="3" fillId="4" borderId="0" xfId="1" applyNumberFormat="1" applyFont="1" applyFill="1" applyAlignment="1">
      <alignment horizontal="center" vertical="center"/>
    </xf>
    <xf numFmtId="167" fontId="3" fillId="4" borderId="0" xfId="0" applyNumberFormat="1" applyFont="1" applyFill="1" applyAlignment="1">
      <alignment horizontal="center" vertical="center"/>
    </xf>
    <xf numFmtId="164" fontId="11" fillId="2" borderId="0" xfId="0" applyNumberFormat="1" applyFont="1" applyFill="1" applyAlignment="1" applyProtection="1">
      <alignment horizontal="left" vertical="center"/>
    </xf>
    <xf numFmtId="164" fontId="11" fillId="2" borderId="0" xfId="0" applyNumberFormat="1" applyFont="1" applyFill="1" applyAlignment="1" applyProtection="1">
      <alignment horizontal="center" vertical="center"/>
    </xf>
    <xf numFmtId="165" fontId="11" fillId="2" borderId="0" xfId="0" applyNumberFormat="1" applyFont="1" applyFill="1" applyAlignment="1" applyProtection="1">
      <alignment horizontal="right" vertical="center"/>
    </xf>
    <xf numFmtId="164" fontId="11" fillId="2" borderId="0" xfId="0" applyNumberFormat="1" applyFont="1" applyFill="1" applyAlignment="1" applyProtection="1">
      <alignment horizontal="right" vertical="center"/>
    </xf>
    <xf numFmtId="0" fontId="12" fillId="2" borderId="0" xfId="0" applyFont="1" applyFill="1" applyProtection="1"/>
    <xf numFmtId="167" fontId="9" fillId="2" borderId="0" xfId="0" applyNumberFormat="1" applyFont="1" applyFill="1" applyProtection="1"/>
    <xf numFmtId="167" fontId="9" fillId="2" borderId="0" xfId="0" applyNumberFormat="1" applyFont="1" applyFill="1"/>
    <xf numFmtId="10" fontId="9" fillId="2" borderId="0" xfId="1" applyNumberFormat="1" applyFont="1" applyFill="1" applyAlignment="1">
      <alignment horizontal="center" vertical="center"/>
    </xf>
    <xf numFmtId="167" fontId="9" fillId="2" borderId="0" xfId="0" applyNumberFormat="1" applyFont="1" applyFill="1" applyAlignment="1">
      <alignment horizontal="right" vertical="center"/>
    </xf>
    <xf numFmtId="167" fontId="9" fillId="2" borderId="0" xfId="0" applyNumberFormat="1" applyFont="1" applyFill="1" applyAlignment="1">
      <alignment horizontal="center" vertical="center"/>
    </xf>
    <xf numFmtId="170" fontId="4" fillId="0" borderId="0" xfId="0" applyNumberFormat="1" applyFont="1" applyAlignment="1" applyProtection="1">
      <alignment horizontal="right" vertical="center"/>
    </xf>
    <xf numFmtId="164" fontId="4" fillId="0" borderId="0" xfId="0" applyNumberFormat="1" applyFont="1" applyAlignment="1" applyProtection="1">
      <alignment horizontal="right" vertical="center"/>
    </xf>
    <xf numFmtId="9" fontId="3" fillId="3" borderId="0" xfId="1" applyNumberFormat="1" applyFont="1" applyFill="1" applyAlignment="1" applyProtection="1">
      <alignment horizontal="center"/>
    </xf>
    <xf numFmtId="9" fontId="3" fillId="2" borderId="0" xfId="1" applyNumberFormat="1" applyFont="1" applyFill="1" applyAlignment="1">
      <alignment horizontal="center"/>
    </xf>
    <xf numFmtId="0" fontId="3" fillId="4" borderId="0" xfId="0" applyFont="1" applyFill="1" applyAlignment="1">
      <alignment horizontal="center" vertical="center"/>
    </xf>
    <xf numFmtId="166" fontId="3" fillId="3" borderId="0" xfId="1" applyNumberFormat="1" applyFont="1" applyFill="1" applyAlignment="1" applyProtection="1">
      <alignment horizontal="center"/>
    </xf>
    <xf numFmtId="166" fontId="10" fillId="3" borderId="0" xfId="1" applyNumberFormat="1" applyFont="1" applyFill="1" applyAlignment="1" applyProtection="1">
      <alignment horizontal="center"/>
    </xf>
    <xf numFmtId="9" fontId="10" fillId="2" borderId="0" xfId="1" applyNumberFormat="1" applyFont="1" applyFill="1" applyAlignment="1">
      <alignment horizontal="center"/>
    </xf>
    <xf numFmtId="10" fontId="10" fillId="4" borderId="0" xfId="1" applyNumberFormat="1" applyFont="1" applyFill="1" applyAlignment="1">
      <alignment horizontal="center" vertical="center"/>
    </xf>
    <xf numFmtId="164" fontId="4" fillId="0" borderId="1" xfId="0" applyNumberFormat="1" applyFont="1" applyBorder="1" applyAlignment="1" applyProtection="1">
      <alignment horizontal="center" vertical="center"/>
    </xf>
    <xf numFmtId="171" fontId="4" fillId="0" borderId="1" xfId="0" applyNumberFormat="1" applyFont="1" applyBorder="1" applyAlignment="1" applyProtection="1">
      <alignment horizontal="right" vertical="center"/>
    </xf>
    <xf numFmtId="10" fontId="3" fillId="4" borderId="0" xfId="0" applyNumberFormat="1" applyFont="1" applyFill="1" applyAlignment="1">
      <alignment horizontal="center" vertical="center"/>
    </xf>
    <xf numFmtId="164" fontId="4" fillId="0" borderId="0" xfId="0" applyNumberFormat="1" applyFont="1" applyAlignment="1" applyProtection="1">
      <alignment horizontal="left" vertical="top"/>
    </xf>
    <xf numFmtId="164" fontId="4" fillId="0" borderId="0" xfId="0" applyNumberFormat="1" applyFont="1" applyAlignment="1" applyProtection="1">
      <alignment horizontal="justify" vertical="top" wrapText="1"/>
    </xf>
    <xf numFmtId="172" fontId="0" fillId="0" borderId="0" xfId="0" applyNumberFormat="1"/>
    <xf numFmtId="167" fontId="0" fillId="0" borderId="0" xfId="0" applyNumberFormat="1"/>
    <xf numFmtId="164" fontId="5" fillId="0" borderId="0" xfId="0" applyNumberFormat="1" applyFont="1" applyAlignment="1" applyProtection="1">
      <alignment horizontal="left" vertical="top"/>
    </xf>
    <xf numFmtId="10" fontId="3" fillId="3" borderId="0" xfId="1" applyNumberFormat="1" applyFont="1" applyFill="1" applyProtection="1"/>
    <xf numFmtId="10" fontId="3" fillId="3" borderId="0" xfId="1" applyNumberFormat="1" applyFont="1" applyFill="1" applyAlignment="1" applyProtection="1">
      <alignment horizontal="center"/>
    </xf>
    <xf numFmtId="10" fontId="10" fillId="3" borderId="0" xfId="1" applyNumberFormat="1" applyFont="1" applyFill="1" applyAlignment="1" applyProtection="1">
      <alignment horizontal="center"/>
    </xf>
    <xf numFmtId="10" fontId="10" fillId="3" borderId="0" xfId="1" applyNumberFormat="1" applyFont="1" applyFill="1" applyProtection="1"/>
    <xf numFmtId="164" fontId="3" fillId="0" borderId="0" xfId="0" applyNumberFormat="1" applyFont="1" applyAlignment="1" applyProtection="1">
      <alignment horizontal="left" vertical="center"/>
    </xf>
    <xf numFmtId="164" fontId="9" fillId="2" borderId="0" xfId="0" applyNumberFormat="1" applyFont="1" applyFill="1" applyAlignment="1" applyProtection="1">
      <alignment horizontal="left" vertical="center"/>
    </xf>
    <xf numFmtId="164" fontId="4" fillId="0" borderId="0" xfId="0" applyNumberFormat="1" applyFont="1" applyAlignment="1" applyProtection="1">
      <alignment horizontal="left" vertical="center" wrapText="1"/>
    </xf>
    <xf numFmtId="0" fontId="13" fillId="0" borderId="0" xfId="0" applyFont="1" applyProtection="1"/>
    <xf numFmtId="0" fontId="14" fillId="3" borderId="0" xfId="0" applyFont="1" applyFill="1" applyAlignment="1" applyProtection="1">
      <alignment horizontal="center" wrapText="1"/>
    </xf>
    <xf numFmtId="0" fontId="14" fillId="3" borderId="0" xfId="0" applyFont="1" applyFill="1" applyAlignment="1" applyProtection="1">
      <alignment horizontal="center"/>
    </xf>
    <xf numFmtId="0" fontId="3" fillId="5" borderId="0" xfId="0" applyFont="1" applyFill="1" applyAlignment="1">
      <alignment horizontal="center" wrapText="1"/>
    </xf>
    <xf numFmtId="0" fontId="3" fillId="6" borderId="0" xfId="0" applyFont="1" applyFill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167" fontId="3" fillId="3" borderId="0" xfId="0" applyNumberFormat="1" applyFont="1" applyFill="1"/>
    <xf numFmtId="164" fontId="4" fillId="0" borderId="0" xfId="0" applyNumberFormat="1" applyFont="1" applyBorder="1" applyAlignment="1" applyProtection="1">
      <alignment horizontal="left" vertical="center" wrapText="1"/>
    </xf>
    <xf numFmtId="0" fontId="3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3" fillId="3" borderId="2" xfId="0" applyFont="1" applyFill="1" applyBorder="1" applyProtection="1"/>
    <xf numFmtId="164" fontId="5" fillId="0" borderId="2" xfId="0" applyNumberFormat="1" applyFont="1" applyBorder="1" applyAlignment="1" applyProtection="1">
      <alignment horizontal="right" vertical="center"/>
    </xf>
    <xf numFmtId="164" fontId="5" fillId="0" borderId="2" xfId="0" applyNumberFormat="1" applyFont="1" applyBorder="1" applyAlignment="1" applyProtection="1">
      <alignment horizontal="left" vertical="center"/>
    </xf>
    <xf numFmtId="0" fontId="13" fillId="0" borderId="2" xfId="0" applyFont="1" applyBorder="1" applyProtection="1"/>
    <xf numFmtId="164" fontId="4" fillId="0" borderId="0" xfId="0" applyNumberFormat="1" applyFont="1" applyBorder="1" applyAlignment="1" applyProtection="1">
      <alignment horizontal="left" vertical="center"/>
    </xf>
    <xf numFmtId="164" fontId="3" fillId="0" borderId="0" xfId="0" applyNumberFormat="1" applyFont="1" applyBorder="1" applyAlignment="1" applyProtection="1">
      <alignment horizontal="center" vertical="center"/>
    </xf>
    <xf numFmtId="10" fontId="3" fillId="3" borderId="0" xfId="1" applyNumberFormat="1" applyFont="1" applyFill="1" applyAlignment="1">
      <alignment horizontal="center"/>
    </xf>
    <xf numFmtId="10" fontId="3" fillId="3" borderId="0" xfId="0" applyNumberFormat="1" applyFont="1" applyFill="1" applyAlignment="1">
      <alignment horizontal="center"/>
    </xf>
    <xf numFmtId="10" fontId="10" fillId="3" borderId="0" xfId="1" applyNumberFormat="1" applyFont="1" applyFill="1" applyAlignment="1">
      <alignment horizontal="center"/>
    </xf>
    <xf numFmtId="164" fontId="4" fillId="0" borderId="0" xfId="0" applyNumberFormat="1" applyFont="1" applyBorder="1" applyAlignment="1" applyProtection="1">
      <alignment horizontal="right" vertical="center"/>
    </xf>
    <xf numFmtId="164" fontId="3" fillId="0" borderId="0" xfId="0" applyNumberFormat="1" applyFont="1" applyBorder="1" applyAlignment="1" applyProtection="1">
      <alignment horizontal="left" vertical="center"/>
    </xf>
    <xf numFmtId="164" fontId="15" fillId="2" borderId="0" xfId="0" applyNumberFormat="1" applyFont="1" applyFill="1" applyAlignment="1" applyProtection="1">
      <alignment horizontal="left" vertical="top"/>
    </xf>
    <xf numFmtId="164" fontId="15" fillId="2" borderId="0" xfId="0" applyNumberFormat="1" applyFont="1" applyFill="1" applyAlignment="1" applyProtection="1">
      <alignment horizontal="justify" vertical="top" wrapText="1"/>
    </xf>
    <xf numFmtId="0" fontId="16" fillId="2" borderId="0" xfId="0" applyFont="1" applyFill="1" applyProtection="1"/>
    <xf numFmtId="0" fontId="16" fillId="2" borderId="0" xfId="0" applyFont="1" applyFill="1"/>
    <xf numFmtId="0" fontId="17" fillId="2" borderId="0" xfId="0" applyFont="1" applyFill="1"/>
    <xf numFmtId="167" fontId="10" fillId="3" borderId="0" xfId="0" applyNumberFormat="1" applyFont="1" applyFill="1"/>
    <xf numFmtId="0" fontId="0" fillId="0" borderId="0" xfId="0" quotePrefix="1"/>
    <xf numFmtId="0" fontId="3" fillId="3" borderId="0" xfId="0" applyFont="1" applyFill="1" applyAlignment="1" applyProtection="1">
      <alignment horizontal="center" wrapText="1"/>
    </xf>
    <xf numFmtId="164" fontId="4" fillId="0" borderId="0" xfId="0" applyNumberFormat="1" applyFont="1" applyAlignment="1" applyProtection="1">
      <alignment horizontal="justify" vertical="top" wrapText="1"/>
    </xf>
    <xf numFmtId="164" fontId="5" fillId="0" borderId="0" xfId="0" applyNumberFormat="1" applyFont="1" applyBorder="1" applyAlignment="1" applyProtection="1">
      <alignment horizontal="center" vertical="center" wrapText="1"/>
    </xf>
    <xf numFmtId="164" fontId="4" fillId="0" borderId="0" xfId="0" applyNumberFormat="1" applyFont="1" applyBorder="1" applyAlignment="1" applyProtection="1">
      <alignment horizontal="left" vertical="center" wrapText="1"/>
    </xf>
    <xf numFmtId="164" fontId="3" fillId="0" borderId="0" xfId="0" applyNumberFormat="1" applyFont="1" applyBorder="1" applyAlignment="1" applyProtection="1">
      <alignment horizontal="center" vertical="center" wrapText="1"/>
    </xf>
    <xf numFmtId="164" fontId="3" fillId="0" borderId="0" xfId="0" applyNumberFormat="1" applyFont="1" applyBorder="1" applyAlignment="1" applyProtection="1">
      <alignment horizontal="left" vertical="center" wrapText="1"/>
    </xf>
    <xf numFmtId="0" fontId="18" fillId="0" borderId="0" xfId="0" applyFont="1" applyProtection="1"/>
    <xf numFmtId="0" fontId="18" fillId="0" borderId="0" xfId="0" applyFont="1"/>
    <xf numFmtId="0" fontId="20" fillId="0" borderId="0" xfId="2" applyFo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orecastReductionInCriminalActivityAndCorrectionalExpenditureSummary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26"/>
  <sheetViews>
    <sheetView showGridLines="0" tabSelected="1" zoomScaleNormal="100" workbookViewId="0">
      <selection activeCell="AE27" sqref="AE27"/>
    </sheetView>
  </sheetViews>
  <sheetFormatPr defaultRowHeight="15" x14ac:dyDescent="0.25"/>
  <cols>
    <col min="1" max="11" width="1.7109375" style="1" customWidth="1"/>
    <col min="12" max="12" width="5.28515625" style="1" hidden="1" customWidth="1"/>
    <col min="13" max="17" width="10.7109375" style="1" hidden="1" customWidth="1"/>
    <col min="18" max="18" width="1.7109375" style="1" hidden="1" customWidth="1"/>
    <col min="19" max="19" width="5.28515625" style="1" hidden="1" customWidth="1"/>
    <col min="20" max="20" width="8" style="1" customWidth="1"/>
    <col min="21" max="21" width="1.28515625" style="1" customWidth="1"/>
    <col min="22" max="22" width="15" style="1" customWidth="1"/>
    <col min="23" max="23" width="8.5703125" style="1" hidden="1" customWidth="1"/>
    <col min="24" max="24" width="0.5703125" customWidth="1"/>
    <col min="25" max="25" width="17.28515625" customWidth="1"/>
    <col min="26" max="26" width="0.5703125" customWidth="1"/>
    <col min="27" max="27" width="9.140625" customWidth="1"/>
    <col min="28" max="28" width="14.28515625" hidden="1" customWidth="1"/>
    <col min="29" max="29" width="15.140625" hidden="1" customWidth="1"/>
    <col min="30" max="30" width="13.85546875" hidden="1" customWidth="1"/>
    <col min="31" max="31" width="14" customWidth="1"/>
    <col min="32" max="32" width="5.7109375" customWidth="1"/>
    <col min="33" max="33" width="0.5703125" customWidth="1"/>
    <col min="34" max="34" width="9.7109375" customWidth="1"/>
    <col min="35" max="35" width="13.85546875" hidden="1" customWidth="1"/>
    <col min="36" max="36" width="14.7109375" hidden="1" customWidth="1"/>
    <col min="37" max="37" width="16" hidden="1" customWidth="1"/>
    <col min="38" max="38" width="14.28515625" customWidth="1"/>
    <col min="39" max="39" width="5.42578125" customWidth="1"/>
    <col min="40" max="40" width="0.7109375" customWidth="1"/>
    <col min="41" max="41" width="10.28515625" customWidth="1"/>
    <col min="42" max="42" width="15.28515625" hidden="1" customWidth="1"/>
    <col min="43" max="44" width="15.42578125" hidden="1" customWidth="1"/>
    <col min="45" max="45" width="15.42578125" customWidth="1"/>
    <col min="46" max="46" width="6.42578125" customWidth="1"/>
    <col min="47" max="47" width="0.7109375" customWidth="1"/>
    <col min="48" max="48" width="9.28515625" customWidth="1"/>
    <col min="49" max="49" width="15.7109375" hidden="1" customWidth="1"/>
    <col min="50" max="50" width="16.7109375" hidden="1" customWidth="1"/>
    <col min="51" max="51" width="17.85546875" hidden="1" customWidth="1"/>
    <col min="52" max="52" width="14.7109375" customWidth="1"/>
    <col min="53" max="53" width="6.28515625" customWidth="1"/>
    <col min="54" max="54" width="0.7109375" customWidth="1"/>
  </cols>
  <sheetData>
    <row r="1" spans="1:54" ht="19.5" x14ac:dyDescent="0.3">
      <c r="A1" s="115" t="s">
        <v>47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</row>
    <row r="2" spans="1:54" ht="53.25" customHeight="1" x14ac:dyDescent="0.3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109" t="s">
        <v>0</v>
      </c>
      <c r="M2" s="110"/>
      <c r="N2" s="110"/>
      <c r="O2" s="110"/>
      <c r="P2" s="110"/>
      <c r="Q2" s="110"/>
      <c r="R2" s="78"/>
      <c r="S2" s="111" t="s">
        <v>42</v>
      </c>
      <c r="T2" s="112"/>
      <c r="U2" s="79"/>
      <c r="V2" s="80" t="s">
        <v>40</v>
      </c>
      <c r="W2" s="10"/>
      <c r="X2" s="4"/>
      <c r="Y2" s="107" t="s">
        <v>46</v>
      </c>
      <c r="Z2" s="30"/>
      <c r="AA2" s="11" t="s">
        <v>36</v>
      </c>
      <c r="AB2" s="82" t="s">
        <v>1</v>
      </c>
      <c r="AC2" s="11" t="s">
        <v>1</v>
      </c>
      <c r="AD2" s="83" t="s">
        <v>1</v>
      </c>
      <c r="AE2" s="11" t="s">
        <v>38</v>
      </c>
      <c r="AF2" s="11"/>
      <c r="AG2" s="30"/>
      <c r="AH2" s="11" t="s">
        <v>36</v>
      </c>
      <c r="AI2" s="82" t="s">
        <v>1</v>
      </c>
      <c r="AJ2" s="11" t="s">
        <v>1</v>
      </c>
      <c r="AK2" s="83" t="s">
        <v>1</v>
      </c>
      <c r="AL2" s="11" t="s">
        <v>37</v>
      </c>
      <c r="AM2" s="11"/>
      <c r="AN2" s="30"/>
      <c r="AO2" s="11" t="s">
        <v>39</v>
      </c>
      <c r="AP2" s="82" t="s">
        <v>2</v>
      </c>
      <c r="AQ2" s="11" t="s">
        <v>1</v>
      </c>
      <c r="AR2" s="83" t="s">
        <v>1</v>
      </c>
      <c r="AS2" s="11" t="s">
        <v>37</v>
      </c>
      <c r="AT2" s="11"/>
      <c r="AU2" s="30"/>
      <c r="AV2" s="11" t="s">
        <v>36</v>
      </c>
      <c r="AW2" s="82" t="s">
        <v>2</v>
      </c>
      <c r="AX2" s="11" t="s">
        <v>1</v>
      </c>
      <c r="AY2" s="83" t="s">
        <v>1</v>
      </c>
      <c r="AZ2" s="11" t="s">
        <v>37</v>
      </c>
      <c r="BA2" s="11"/>
      <c r="BB2" s="2"/>
    </row>
    <row r="3" spans="1:54" ht="17.25" customHeight="1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93"/>
      <c r="T3" s="94" t="s">
        <v>41</v>
      </c>
      <c r="U3" s="79"/>
      <c r="V3" s="81" t="s">
        <v>17</v>
      </c>
      <c r="W3" s="3"/>
      <c r="X3" s="4"/>
      <c r="Y3" s="87" t="s">
        <v>44</v>
      </c>
      <c r="Z3" s="30"/>
      <c r="AA3" s="5" t="s">
        <v>3</v>
      </c>
      <c r="AB3" s="6" t="s">
        <v>4</v>
      </c>
      <c r="AC3" s="5" t="s">
        <v>5</v>
      </c>
      <c r="AD3" s="7" t="s">
        <v>5</v>
      </c>
      <c r="AE3" s="5" t="s">
        <v>6</v>
      </c>
      <c r="AF3" s="5"/>
      <c r="AG3" s="30"/>
      <c r="AH3" s="5" t="s">
        <v>7</v>
      </c>
      <c r="AI3" s="6" t="s">
        <v>4</v>
      </c>
      <c r="AJ3" s="5" t="s">
        <v>8</v>
      </c>
      <c r="AK3" s="7" t="s">
        <v>8</v>
      </c>
      <c r="AL3" s="5" t="s">
        <v>9</v>
      </c>
      <c r="AM3" s="5"/>
      <c r="AN3" s="30"/>
      <c r="AO3" s="5" t="s">
        <v>7</v>
      </c>
      <c r="AP3" s="6" t="s">
        <v>4</v>
      </c>
      <c r="AQ3" s="5" t="s">
        <v>10</v>
      </c>
      <c r="AR3" s="7" t="s">
        <v>10</v>
      </c>
      <c r="AS3" s="5" t="s">
        <v>11</v>
      </c>
      <c r="AT3" s="5"/>
      <c r="AU3" s="30"/>
      <c r="AV3" s="5" t="s">
        <v>7</v>
      </c>
      <c r="AW3" s="6" t="s">
        <v>4</v>
      </c>
      <c r="AX3" s="5" t="s">
        <v>12</v>
      </c>
      <c r="AY3" s="7" t="s">
        <v>12</v>
      </c>
      <c r="AZ3" s="5" t="s">
        <v>13</v>
      </c>
      <c r="BA3" s="5"/>
      <c r="BB3" s="2"/>
    </row>
    <row r="4" spans="1:54" ht="16.5" customHeight="1" thickBot="1" x14ac:dyDescent="0.35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14"/>
      <c r="M4" s="15"/>
      <c r="N4" s="15"/>
      <c r="O4" s="15"/>
      <c r="P4" s="15"/>
      <c r="Q4" s="15"/>
      <c r="R4" s="12"/>
      <c r="S4" s="14"/>
      <c r="T4" s="90"/>
      <c r="U4" s="92"/>
      <c r="V4" s="89"/>
      <c r="W4" s="3"/>
      <c r="X4" s="4"/>
      <c r="Y4" s="88" t="s">
        <v>43</v>
      </c>
      <c r="Z4" s="84"/>
      <c r="AA4" s="16" t="s">
        <v>14</v>
      </c>
      <c r="AB4" s="17" t="s">
        <v>5</v>
      </c>
      <c r="AC4" s="16" t="s">
        <v>15</v>
      </c>
      <c r="AD4" s="17" t="s">
        <v>16</v>
      </c>
      <c r="AE4" s="16" t="s">
        <v>32</v>
      </c>
      <c r="AF4" s="16"/>
      <c r="AG4" s="84"/>
      <c r="AH4" s="16" t="s">
        <v>18</v>
      </c>
      <c r="AI4" s="17" t="s">
        <v>8</v>
      </c>
      <c r="AJ4" s="16" t="s">
        <v>15</v>
      </c>
      <c r="AK4" s="17" t="s">
        <v>19</v>
      </c>
      <c r="AL4" s="16" t="s">
        <v>33</v>
      </c>
      <c r="AM4" s="16"/>
      <c r="AN4" s="84"/>
      <c r="AO4" s="16" t="s">
        <v>20</v>
      </c>
      <c r="AP4" s="17" t="s">
        <v>10</v>
      </c>
      <c r="AQ4" s="16" t="s">
        <v>15</v>
      </c>
      <c r="AR4" s="17" t="s">
        <v>21</v>
      </c>
      <c r="AS4" s="16" t="s">
        <v>34</v>
      </c>
      <c r="AT4" s="16"/>
      <c r="AU4" s="84"/>
      <c r="AV4" s="16" t="s">
        <v>22</v>
      </c>
      <c r="AW4" s="17" t="s">
        <v>12</v>
      </c>
      <c r="AX4" s="16" t="s">
        <v>15</v>
      </c>
      <c r="AY4" s="17" t="s">
        <v>23</v>
      </c>
      <c r="AZ4" s="16" t="s">
        <v>35</v>
      </c>
      <c r="BA4" s="16"/>
      <c r="BB4" s="18"/>
    </row>
    <row r="5" spans="1:54" ht="16.5" customHeight="1" x14ac:dyDescent="0.3">
      <c r="A5" s="76" t="s">
        <v>24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19" t="s">
        <v>25</v>
      </c>
      <c r="M5" s="20">
        <v>10702</v>
      </c>
      <c r="N5" s="20">
        <v>11026</v>
      </c>
      <c r="O5" s="20">
        <v>10889</v>
      </c>
      <c r="P5" s="20">
        <v>11401</v>
      </c>
      <c r="Q5" s="20">
        <v>11988</v>
      </c>
      <c r="R5" s="9"/>
      <c r="S5" s="19" t="s">
        <v>26</v>
      </c>
      <c r="T5" s="21">
        <v>2.9000000000000001E-2</v>
      </c>
      <c r="V5" s="22">
        <f>Q5*1000000</f>
        <v>11988000000</v>
      </c>
      <c r="W5" s="72">
        <f>V5/$V$9</f>
        <v>0.65042591286419615</v>
      </c>
      <c r="X5" s="23"/>
      <c r="Y5" s="85">
        <f>(V5*T5*10)+V5</f>
        <v>15464520000</v>
      </c>
      <c r="Z5" s="30"/>
      <c r="AA5" s="24">
        <v>0.06</v>
      </c>
      <c r="AB5" s="25">
        <f>($V5*$T5)*2</f>
        <v>695304000</v>
      </c>
      <c r="AC5" s="26">
        <f>-$V5*$AA5*2</f>
        <v>-1438560000</v>
      </c>
      <c r="AD5" s="27">
        <f>AC5+AB5</f>
        <v>-743256000</v>
      </c>
      <c r="AE5" s="28">
        <f>((AB5+AC5)/2)+$V$5</f>
        <v>11616372000</v>
      </c>
      <c r="AF5" s="29">
        <f>-($V5-AE5)/$V5</f>
        <v>-3.1E-2</v>
      </c>
      <c r="AG5" s="30"/>
      <c r="AH5" s="31">
        <v>7.4999999999999997E-2</v>
      </c>
      <c r="AI5" s="25">
        <f>($V5*$T5)*5</f>
        <v>1738260000</v>
      </c>
      <c r="AJ5" s="26">
        <f>-$V5*$AH5*5</f>
        <v>-4495500000</v>
      </c>
      <c r="AK5" s="27">
        <f>AJ5+AI5</f>
        <v>-2757240000</v>
      </c>
      <c r="AL5" s="28">
        <f>((AI5+AJ5)/5)+$V5</f>
        <v>11436552000</v>
      </c>
      <c r="AM5" s="29">
        <f>-($V5-AL5)/$V5</f>
        <v>-4.5999999999999999E-2</v>
      </c>
      <c r="AN5" s="30"/>
      <c r="AO5" s="31">
        <v>0.11</v>
      </c>
      <c r="AP5" s="25">
        <f>($V5*$T5)*10</f>
        <v>3476520000</v>
      </c>
      <c r="AQ5" s="26">
        <f>-$V5*$AO5*10</f>
        <v>-13186800000</v>
      </c>
      <c r="AR5" s="27">
        <f>AQ5+AP5</f>
        <v>-9710280000</v>
      </c>
      <c r="AS5" s="28">
        <f>((AP5+AQ5)/10)+$V5</f>
        <v>11016972000</v>
      </c>
      <c r="AT5" s="29">
        <f>-($V5-AS5)/$V5</f>
        <v>-8.1000000000000003E-2</v>
      </c>
      <c r="AU5" s="2"/>
      <c r="AV5" s="31">
        <v>0.13</v>
      </c>
      <c r="AW5" s="25">
        <f>($V5*$T5)*15</f>
        <v>5214780000</v>
      </c>
      <c r="AX5" s="26">
        <f>-$V5*$AV5*15</f>
        <v>-23376600000</v>
      </c>
      <c r="AY5" s="27">
        <f>AX5+AW5</f>
        <v>-18161820000</v>
      </c>
      <c r="AZ5" s="28">
        <f>((AW5+AX5)/15)+$V5</f>
        <v>10777212000</v>
      </c>
      <c r="BA5" s="29">
        <f>-($V5-AZ5)/$V5</f>
        <v>-0.10100000000000001</v>
      </c>
      <c r="BB5" s="2"/>
    </row>
    <row r="6" spans="1:54" ht="16.5" customHeight="1" x14ac:dyDescent="0.3">
      <c r="A6" s="76" t="s">
        <v>27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19" t="s">
        <v>25</v>
      </c>
      <c r="M6" s="32">
        <v>848</v>
      </c>
      <c r="N6" s="32">
        <v>849</v>
      </c>
      <c r="O6" s="32">
        <v>886</v>
      </c>
      <c r="P6" s="32">
        <v>928</v>
      </c>
      <c r="Q6" s="32">
        <v>963</v>
      </c>
      <c r="R6" s="9"/>
      <c r="S6" s="19" t="s">
        <v>26</v>
      </c>
      <c r="T6" s="21">
        <v>3.2000000000000001E-2</v>
      </c>
      <c r="V6" s="22">
        <f>Q6*1000000</f>
        <v>963000000</v>
      </c>
      <c r="W6" s="72">
        <f>V6/$V$9</f>
        <v>5.2248928435787531E-2</v>
      </c>
      <c r="X6" s="23"/>
      <c r="Y6" s="85">
        <f t="shared" ref="Y6:Y8" si="0">(V6*T6*10)+V6</f>
        <v>1271160000</v>
      </c>
      <c r="Z6" s="30"/>
      <c r="AA6" s="24">
        <v>0.08</v>
      </c>
      <c r="AB6" s="25">
        <f>($V6*$T6)*2</f>
        <v>61632000</v>
      </c>
      <c r="AC6" s="26">
        <f>-$V6*$AA6*2</f>
        <v>-154080000</v>
      </c>
      <c r="AD6" s="27">
        <f>AC6+AB6</f>
        <v>-92448000</v>
      </c>
      <c r="AE6" s="28">
        <f>((AB6+AC6)/2)+$V$6</f>
        <v>916776000</v>
      </c>
      <c r="AF6" s="29">
        <f>-($V6-AE6)/$V6</f>
        <v>-4.8000000000000001E-2</v>
      </c>
      <c r="AG6" s="30"/>
      <c r="AH6" s="24">
        <v>0.125</v>
      </c>
      <c r="AI6" s="25">
        <f>($V6*$T6)*5</f>
        <v>154080000</v>
      </c>
      <c r="AJ6" s="26">
        <f>-$V6*$AH6*5</f>
        <v>-601875000</v>
      </c>
      <c r="AK6" s="27">
        <f>AJ6+AI6</f>
        <v>-447795000</v>
      </c>
      <c r="AL6" s="28">
        <f>((AI6+AJ6)/5)+$V6</f>
        <v>873441000</v>
      </c>
      <c r="AM6" s="29">
        <f>-($V6-AL6)/$V6</f>
        <v>-9.2999999999999999E-2</v>
      </c>
      <c r="AN6" s="30"/>
      <c r="AO6" s="33">
        <v>0.19</v>
      </c>
      <c r="AP6" s="25">
        <f>($V6*$T6)*10</f>
        <v>308160000</v>
      </c>
      <c r="AQ6" s="26">
        <f>-$V6*$AO6*10</f>
        <v>-1829700000</v>
      </c>
      <c r="AR6" s="27">
        <f>AQ6+AP6</f>
        <v>-1521540000</v>
      </c>
      <c r="AS6" s="28">
        <f>((AP6+AQ6)/10)+$V6</f>
        <v>810846000</v>
      </c>
      <c r="AT6" s="29">
        <f>-($V6-AS6)/$V6</f>
        <v>-0.158</v>
      </c>
      <c r="AU6" s="2"/>
      <c r="AV6" s="33">
        <v>0.24</v>
      </c>
      <c r="AW6" s="25">
        <f>($V6*$T6)*15</f>
        <v>462240000</v>
      </c>
      <c r="AX6" s="26">
        <f>-$V6*$AV6*15</f>
        <v>-3466800000</v>
      </c>
      <c r="AY6" s="27">
        <f>AX6+AW6</f>
        <v>-3004560000</v>
      </c>
      <c r="AZ6" s="28">
        <f>((AW6+AX6)/15)+$V6</f>
        <v>762696000</v>
      </c>
      <c r="BA6" s="29">
        <f>-($V6-AZ6)/$V6</f>
        <v>-0.20799999999999999</v>
      </c>
      <c r="BB6" s="2"/>
    </row>
    <row r="7" spans="1:54" ht="16.5" customHeight="1" x14ac:dyDescent="0.3">
      <c r="A7" s="76" t="s">
        <v>28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19" t="s">
        <v>25</v>
      </c>
      <c r="M7" s="32">
        <v>655</v>
      </c>
      <c r="N7" s="32">
        <v>640</v>
      </c>
      <c r="O7" s="32">
        <v>669</v>
      </c>
      <c r="P7" s="32">
        <v>680</v>
      </c>
      <c r="Q7" s="32">
        <v>712</v>
      </c>
      <c r="R7" s="9"/>
      <c r="S7" s="19" t="s">
        <v>26</v>
      </c>
      <c r="T7" s="21">
        <v>2.1000000000000001E-2</v>
      </c>
      <c r="V7" s="22">
        <f>Q7*1000000</f>
        <v>712000000</v>
      </c>
      <c r="W7" s="72">
        <f>V7/$V$9</f>
        <v>3.8630568064673645E-2</v>
      </c>
      <c r="X7" s="23"/>
      <c r="Y7" s="85">
        <f t="shared" si="0"/>
        <v>861520000</v>
      </c>
      <c r="Z7" s="30"/>
      <c r="AA7" s="24">
        <v>0</v>
      </c>
      <c r="AB7" s="25">
        <f>($V7*$T7)*2</f>
        <v>29904000</v>
      </c>
      <c r="AC7" s="26">
        <f>-$V7*$AA7*2</f>
        <v>0</v>
      </c>
      <c r="AD7" s="27">
        <f>AC7+AB7</f>
        <v>29904000</v>
      </c>
      <c r="AE7" s="28">
        <f>((AB7+AC7)/2)+$V$7</f>
        <v>726952000</v>
      </c>
      <c r="AF7" s="29">
        <f>-($V7-AE7)/$V7</f>
        <v>2.1000000000000001E-2</v>
      </c>
      <c r="AG7" s="30"/>
      <c r="AH7" s="24">
        <v>0</v>
      </c>
      <c r="AI7" s="25">
        <f>($V7*$T7)*5</f>
        <v>74760000</v>
      </c>
      <c r="AJ7" s="26">
        <f>-$V7*$AH7*5</f>
        <v>0</v>
      </c>
      <c r="AK7" s="27">
        <f>AJ7+AI7</f>
        <v>74760000</v>
      </c>
      <c r="AL7" s="28">
        <f>((AI7+AJ7)/5)+$V7</f>
        <v>726952000</v>
      </c>
      <c r="AM7" s="29">
        <f>-($V7-AL7)/$V7</f>
        <v>2.1000000000000001E-2</v>
      </c>
      <c r="AN7" s="30"/>
      <c r="AO7" s="24">
        <v>0</v>
      </c>
      <c r="AP7" s="25">
        <f>($V7*$T7)*10</f>
        <v>149520000</v>
      </c>
      <c r="AQ7" s="26">
        <f>-$V7*$AO7*10</f>
        <v>0</v>
      </c>
      <c r="AR7" s="27">
        <f>AQ7+AP7</f>
        <v>149520000</v>
      </c>
      <c r="AS7" s="28">
        <f>((AP7+AQ7)/10)+$V7</f>
        <v>726952000</v>
      </c>
      <c r="AT7" s="29">
        <f>-($V7-AS7)/$V7</f>
        <v>2.1000000000000001E-2</v>
      </c>
      <c r="AU7" s="2"/>
      <c r="AV7" s="24">
        <v>0</v>
      </c>
      <c r="AW7" s="25">
        <f>($V7*$T7)*15</f>
        <v>224280000</v>
      </c>
      <c r="AX7" s="26">
        <f>-$V7*$AV7*15</f>
        <v>0</v>
      </c>
      <c r="AY7" s="27">
        <f>AX7+AW7</f>
        <v>224280000</v>
      </c>
      <c r="AZ7" s="28">
        <f>((AW7+AX7)/15)+$V7</f>
        <v>726952000</v>
      </c>
      <c r="BA7" s="29">
        <f>-($V7-AZ7)/$V7</f>
        <v>2.1000000000000001E-2</v>
      </c>
      <c r="BB7" s="2"/>
    </row>
    <row r="8" spans="1:54" ht="16.5" customHeight="1" x14ac:dyDescent="0.3">
      <c r="A8" s="76" t="s">
        <v>29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19" t="s">
        <v>25</v>
      </c>
      <c r="M8" s="34">
        <v>3762</v>
      </c>
      <c r="N8" s="34">
        <v>3906</v>
      </c>
      <c r="O8" s="34">
        <v>4207</v>
      </c>
      <c r="P8" s="34">
        <v>4506</v>
      </c>
      <c r="Q8" s="34">
        <v>4768</v>
      </c>
      <c r="R8" s="9"/>
      <c r="S8" s="19" t="s">
        <v>26</v>
      </c>
      <c r="T8" s="21">
        <v>6.0999999999999999E-2</v>
      </c>
      <c r="V8" s="35">
        <f>Q8*1000000</f>
        <v>4768000000</v>
      </c>
      <c r="W8" s="75">
        <f>V8/$V$9</f>
        <v>0.25869459063534261</v>
      </c>
      <c r="X8" s="36"/>
      <c r="Y8" s="105">
        <f t="shared" si="0"/>
        <v>7676480000</v>
      </c>
      <c r="Z8" s="30"/>
      <c r="AA8" s="24">
        <v>0.05</v>
      </c>
      <c r="AB8" s="37">
        <f>($V8*$T8)*2</f>
        <v>581696000</v>
      </c>
      <c r="AC8" s="38">
        <f>-$V8*$AA8*2</f>
        <v>-476800000</v>
      </c>
      <c r="AD8" s="39">
        <f>AC8+AB8</f>
        <v>104896000</v>
      </c>
      <c r="AE8" s="40">
        <f>((AB8+AC8)/2)+$V$8</f>
        <v>4820448000</v>
      </c>
      <c r="AF8" s="29">
        <f>-($V8-AE8)/$V8</f>
        <v>1.0999999999999999E-2</v>
      </c>
      <c r="AG8" s="30"/>
      <c r="AH8" s="24">
        <v>0.09</v>
      </c>
      <c r="AI8" s="37">
        <f>($V8*$T8)*5</f>
        <v>1454240000</v>
      </c>
      <c r="AJ8" s="38">
        <f>-$V8*$AH8*5</f>
        <v>-2145600000</v>
      </c>
      <c r="AK8" s="39">
        <f>AJ8+AI8</f>
        <v>-691360000</v>
      </c>
      <c r="AL8" s="40">
        <f>((AI8+AJ8)/5)+$V8</f>
        <v>4629728000</v>
      </c>
      <c r="AM8" s="29">
        <f>-($V8-AL8)/$V8</f>
        <v>-2.9000000000000001E-2</v>
      </c>
      <c r="AN8" s="30"/>
      <c r="AO8" s="24">
        <v>0.16</v>
      </c>
      <c r="AP8" s="37">
        <f>($V8*$T8)*10</f>
        <v>2908480000</v>
      </c>
      <c r="AQ8" s="38">
        <f>-$V8*$AO8*10</f>
        <v>-7628800000</v>
      </c>
      <c r="AR8" s="39">
        <f>AQ8+AP8</f>
        <v>-4720320000</v>
      </c>
      <c r="AS8" s="40">
        <f>((AP8+AQ8)/10)+$V8</f>
        <v>4295968000</v>
      </c>
      <c r="AT8" s="29">
        <f>-($V8-AS8)/$V8</f>
        <v>-9.9000000000000005E-2</v>
      </c>
      <c r="AU8" s="2"/>
      <c r="AV8" s="24">
        <v>0.24</v>
      </c>
      <c r="AW8" s="37">
        <f>($V8*$T8)*15</f>
        <v>4362720000</v>
      </c>
      <c r="AX8" s="38">
        <f>-$V8*$AV8*15</f>
        <v>-17164800000</v>
      </c>
      <c r="AY8" s="39">
        <f>AX8+AW8</f>
        <v>-12802080000</v>
      </c>
      <c r="AZ8" s="40">
        <f>((AW8+AX8)/15)+$V8</f>
        <v>3914528000</v>
      </c>
      <c r="BA8" s="29">
        <f>-($V8-AZ8)/$V8</f>
        <v>-0.17899999999999999</v>
      </c>
      <c r="BB8" s="2"/>
    </row>
    <row r="9" spans="1:54" ht="16.5" customHeight="1" x14ac:dyDescent="0.3">
      <c r="A9" s="76" t="s">
        <v>30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19" t="s">
        <v>25</v>
      </c>
      <c r="M9" s="20">
        <v>15967</v>
      </c>
      <c r="N9" s="20">
        <v>16421</v>
      </c>
      <c r="O9" s="20">
        <v>16652</v>
      </c>
      <c r="P9" s="20">
        <v>17514</v>
      </c>
      <c r="Q9" s="20">
        <v>18431</v>
      </c>
      <c r="R9" s="9"/>
      <c r="S9" s="19" t="s">
        <v>26</v>
      </c>
      <c r="T9" s="21">
        <v>3.6999999999999998E-2</v>
      </c>
      <c r="V9" s="22">
        <f>SUM(V5:V8)</f>
        <v>18431000000</v>
      </c>
      <c r="W9" s="72">
        <f>SUM(W5:W8)</f>
        <v>1</v>
      </c>
      <c r="X9" s="23"/>
      <c r="Y9" s="22">
        <f>SUM(Y5:Y8)</f>
        <v>25273680000</v>
      </c>
      <c r="Z9" s="30"/>
      <c r="AA9" s="41" t="s">
        <v>17</v>
      </c>
      <c r="AB9" s="42">
        <f>SUM(AB5:AB8)</f>
        <v>1368536000</v>
      </c>
      <c r="AC9" s="26">
        <f>SUM(AC5:AC8)</f>
        <v>-2069440000</v>
      </c>
      <c r="AD9" s="27">
        <f>SUM(AD5:AD8)</f>
        <v>-700904000</v>
      </c>
      <c r="AE9" s="26">
        <f>SUM(AE5:AE8)</f>
        <v>18080548000</v>
      </c>
      <c r="AF9" s="26"/>
      <c r="AG9" s="30"/>
      <c r="AH9" s="43" t="s">
        <v>17</v>
      </c>
      <c r="AI9" s="42">
        <f>SUM(AI5:AI8)</f>
        <v>3421340000</v>
      </c>
      <c r="AJ9" s="26">
        <f>SUM(AJ5:AJ8)</f>
        <v>-7242975000</v>
      </c>
      <c r="AK9" s="27">
        <f>SUM(AK5:AK8)</f>
        <v>-3821635000</v>
      </c>
      <c r="AL9" s="44">
        <f>SUM(AL5:AL8)</f>
        <v>17666673000</v>
      </c>
      <c r="AM9" s="44"/>
      <c r="AN9" s="30"/>
      <c r="AO9" s="43" t="s">
        <v>17</v>
      </c>
      <c r="AP9" s="42">
        <f>SUM(AP5:AP8)</f>
        <v>6842680000</v>
      </c>
      <c r="AQ9" s="26">
        <f>SUM(AQ5:AQ8)</f>
        <v>-22645300000</v>
      </c>
      <c r="AR9" s="27">
        <f>SUM(AR5:AR8)</f>
        <v>-15802620000</v>
      </c>
      <c r="AS9" s="26">
        <f>SUM(AS5:AS8)</f>
        <v>16850738000</v>
      </c>
      <c r="AT9" s="26"/>
      <c r="AU9" s="2"/>
      <c r="AV9" s="43" t="s">
        <v>17</v>
      </c>
      <c r="AW9" s="42">
        <f>SUM(AW5:AW8)</f>
        <v>10264020000</v>
      </c>
      <c r="AX9" s="26">
        <f>SUM(AX5:AX8)</f>
        <v>-44008200000</v>
      </c>
      <c r="AY9" s="27">
        <f>SUM(AY5:AY8)</f>
        <v>-33744180000</v>
      </c>
      <c r="AZ9" s="26">
        <f>SUM(AZ5:AZ8)</f>
        <v>16181388000</v>
      </c>
      <c r="BA9" s="26"/>
      <c r="BB9" s="2"/>
    </row>
    <row r="10" spans="1:54" ht="3" customHeight="1" x14ac:dyDescent="0.3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46"/>
      <c r="M10" s="47"/>
      <c r="N10" s="47"/>
      <c r="O10" s="47"/>
      <c r="P10" s="47"/>
      <c r="Q10" s="47"/>
      <c r="R10" s="45"/>
      <c r="S10" s="46"/>
      <c r="T10" s="48"/>
      <c r="U10" s="49"/>
      <c r="V10" s="50"/>
      <c r="W10" s="50"/>
      <c r="X10" s="51"/>
      <c r="Y10" s="50"/>
      <c r="Z10" s="30"/>
      <c r="AA10" s="52"/>
      <c r="AB10" s="52"/>
      <c r="AC10" s="53"/>
      <c r="AD10" s="53"/>
      <c r="AE10" s="53"/>
      <c r="AF10" s="53"/>
      <c r="AG10" s="30"/>
      <c r="AH10" s="52"/>
      <c r="AI10" s="52"/>
      <c r="AJ10" s="53"/>
      <c r="AK10" s="53"/>
      <c r="AL10" s="54"/>
      <c r="AM10" s="54"/>
      <c r="AN10" s="30"/>
      <c r="AO10" s="52"/>
      <c r="AP10" s="52"/>
      <c r="AQ10" s="53"/>
      <c r="AR10" s="53"/>
      <c r="AS10" s="53"/>
      <c r="AT10" s="53"/>
      <c r="AU10" s="2"/>
      <c r="AV10" s="52"/>
      <c r="AW10" s="52"/>
      <c r="AX10" s="53"/>
      <c r="AY10" s="53"/>
      <c r="AZ10" s="53"/>
      <c r="BA10" s="53"/>
      <c r="BB10" s="2"/>
    </row>
    <row r="11" spans="1:54" ht="16.5" customHeight="1" x14ac:dyDescent="0.3">
      <c r="A11" s="76" t="s">
        <v>24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19" t="s">
        <v>26</v>
      </c>
      <c r="M11" s="55">
        <v>67</v>
      </c>
      <c r="N11" s="55">
        <v>67.099999999999994</v>
      </c>
      <c r="O11" s="55">
        <v>65.400000000000006</v>
      </c>
      <c r="P11" s="55">
        <v>65.099999999999994</v>
      </c>
      <c r="Q11" s="55">
        <v>65</v>
      </c>
      <c r="R11" s="9"/>
      <c r="S11" s="19"/>
      <c r="T11" s="56"/>
      <c r="V11" s="73">
        <f>W5</f>
        <v>0.65042591286419615</v>
      </c>
      <c r="W11" s="57"/>
      <c r="X11" s="58"/>
      <c r="Y11" s="95">
        <f>Y5/$Y$9</f>
        <v>0.6118824009799918</v>
      </c>
      <c r="Z11" s="30"/>
      <c r="AA11" s="59"/>
      <c r="AB11" s="59"/>
      <c r="AC11" s="43"/>
      <c r="AD11" s="59"/>
      <c r="AE11" s="43">
        <f>AE5/$AE$9</f>
        <v>0.64247897796018127</v>
      </c>
      <c r="AF11" s="59"/>
      <c r="AG11" s="30"/>
      <c r="AH11" s="59"/>
      <c r="AI11" s="59"/>
      <c r="AJ11" s="43"/>
      <c r="AK11" s="43"/>
      <c r="AL11" s="43">
        <f>AL5/$AL$9</f>
        <v>0.64735176793049831</v>
      </c>
      <c r="AM11" s="59"/>
      <c r="AN11" s="30"/>
      <c r="AO11" s="59"/>
      <c r="AP11" s="59"/>
      <c r="AQ11" s="43"/>
      <c r="AR11" s="43"/>
      <c r="AS11" s="43">
        <f>AS5/$AS$9</f>
        <v>0.65379759628332001</v>
      </c>
      <c r="AT11" s="59"/>
      <c r="AU11" s="2"/>
      <c r="AV11" s="59"/>
      <c r="AW11" s="59"/>
      <c r="AX11" s="43"/>
      <c r="AY11" s="43"/>
      <c r="AZ11" s="43">
        <f>AZ5/$AZ$9</f>
        <v>0.66602518893929252</v>
      </c>
      <c r="BA11" s="59"/>
      <c r="BB11" s="2"/>
    </row>
    <row r="12" spans="1:54" ht="16.5" customHeight="1" x14ac:dyDescent="0.3">
      <c r="A12" s="76" t="s">
        <v>27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19" t="s">
        <v>26</v>
      </c>
      <c r="M12" s="56">
        <v>5.3</v>
      </c>
      <c r="N12" s="56">
        <v>5.2</v>
      </c>
      <c r="O12" s="56">
        <v>5.3</v>
      </c>
      <c r="P12" s="56">
        <v>5.3</v>
      </c>
      <c r="Q12" s="56">
        <v>5.2</v>
      </c>
      <c r="R12" s="9"/>
      <c r="S12" s="19"/>
      <c r="T12" s="56"/>
      <c r="V12" s="73">
        <f>W6</f>
        <v>5.2248928435787531E-2</v>
      </c>
      <c r="W12" s="60"/>
      <c r="X12" s="58"/>
      <c r="Y12" s="95">
        <f t="shared" ref="Y12:Y14" si="1">Y6/$Y$9</f>
        <v>5.02958017985509E-2</v>
      </c>
      <c r="Z12" s="30"/>
      <c r="AA12" s="59"/>
      <c r="AB12" s="59"/>
      <c r="AC12" s="43"/>
      <c r="AD12" s="59"/>
      <c r="AE12" s="43">
        <f>AE6/$AE$9</f>
        <v>5.0705100310012727E-2</v>
      </c>
      <c r="AF12" s="59"/>
      <c r="AG12" s="30"/>
      <c r="AH12" s="59"/>
      <c r="AI12" s="59"/>
      <c r="AJ12" s="43"/>
      <c r="AK12" s="43"/>
      <c r="AL12" s="43">
        <f>AL6/$AL$9</f>
        <v>4.9440038879986062E-2</v>
      </c>
      <c r="AM12" s="59"/>
      <c r="AN12" s="30"/>
      <c r="AO12" s="59"/>
      <c r="AP12" s="59"/>
      <c r="AQ12" s="43"/>
      <c r="AR12" s="43"/>
      <c r="AS12" s="43">
        <f>AS6/$AS$9</f>
        <v>4.8119316791941098E-2</v>
      </c>
      <c r="AT12" s="59"/>
      <c r="AU12" s="2"/>
      <c r="AV12" s="59"/>
      <c r="AW12" s="59"/>
      <c r="AX12" s="43"/>
      <c r="AY12" s="43"/>
      <c r="AZ12" s="43">
        <f>AZ6/$AZ$9</f>
        <v>4.7134151903409027E-2</v>
      </c>
      <c r="BA12" s="59"/>
      <c r="BB12" s="2"/>
    </row>
    <row r="13" spans="1:54" ht="16.5" customHeight="1" x14ac:dyDescent="0.3">
      <c r="A13" s="76" t="s">
        <v>31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19" t="s">
        <v>26</v>
      </c>
      <c r="M13" s="56">
        <v>4.0999999999999996</v>
      </c>
      <c r="N13" s="56">
        <v>3.9</v>
      </c>
      <c r="O13" s="56">
        <v>4</v>
      </c>
      <c r="P13" s="56">
        <v>3.9</v>
      </c>
      <c r="Q13" s="56">
        <v>3.9</v>
      </c>
      <c r="R13" s="9"/>
      <c r="S13" s="19"/>
      <c r="T13" s="56"/>
      <c r="V13" s="73">
        <f>W7</f>
        <v>3.8630568064673645E-2</v>
      </c>
      <c r="W13" s="60"/>
      <c r="X13" s="58"/>
      <c r="Y13" s="95">
        <f t="shared" si="1"/>
        <v>3.4087635833008882E-2</v>
      </c>
      <c r="Z13" s="30"/>
      <c r="AA13" s="59"/>
      <c r="AB13" s="59"/>
      <c r="AC13" s="43"/>
      <c r="AD13" s="59"/>
      <c r="AE13" s="43">
        <f>AE7/$AE$9</f>
        <v>4.0206303481509519E-2</v>
      </c>
      <c r="AF13" s="59"/>
      <c r="AG13" s="30"/>
      <c r="AH13" s="59"/>
      <c r="AI13" s="59"/>
      <c r="AJ13" s="43"/>
      <c r="AK13" s="43"/>
      <c r="AL13" s="43">
        <f>AL7/$AL$9</f>
        <v>4.1148211663848647E-2</v>
      </c>
      <c r="AM13" s="59"/>
      <c r="AN13" s="30"/>
      <c r="AO13" s="59"/>
      <c r="AP13" s="59"/>
      <c r="AQ13" s="43"/>
      <c r="AR13" s="43"/>
      <c r="AS13" s="43">
        <f>AS7/$AS$9</f>
        <v>4.3140662444576615E-2</v>
      </c>
      <c r="AT13" s="59"/>
      <c r="AU13" s="2"/>
      <c r="AV13" s="59"/>
      <c r="AW13" s="59"/>
      <c r="AX13" s="43"/>
      <c r="AY13" s="43"/>
      <c r="AZ13" s="43">
        <f>AZ7/$AZ$9</f>
        <v>4.4925194303480021E-2</v>
      </c>
      <c r="BA13" s="59"/>
      <c r="BB13" s="2"/>
    </row>
    <row r="14" spans="1:54" ht="16.5" customHeight="1" x14ac:dyDescent="0.3">
      <c r="A14" s="76" t="s">
        <v>29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19" t="s">
        <v>26</v>
      </c>
      <c r="M14" s="55">
        <v>23.6</v>
      </c>
      <c r="N14" s="55">
        <v>23.8</v>
      </c>
      <c r="O14" s="55">
        <v>25.3</v>
      </c>
      <c r="P14" s="55">
        <v>25.7</v>
      </c>
      <c r="Q14" s="55">
        <v>25.9</v>
      </c>
      <c r="R14" s="9"/>
      <c r="S14" s="19"/>
      <c r="T14" s="56"/>
      <c r="V14" s="74">
        <f>W8</f>
        <v>0.25869459063534261</v>
      </c>
      <c r="W14" s="61"/>
      <c r="X14" s="62"/>
      <c r="Y14" s="97">
        <f t="shared" si="1"/>
        <v>0.30373416138844839</v>
      </c>
      <c r="Z14" s="30"/>
      <c r="AA14" s="59"/>
      <c r="AB14" s="59"/>
      <c r="AC14" s="63"/>
      <c r="AD14" s="59"/>
      <c r="AE14" s="63">
        <f>AE8/$AE$9</f>
        <v>0.26660961824829643</v>
      </c>
      <c r="AF14" s="59"/>
      <c r="AG14" s="30"/>
      <c r="AH14" s="59"/>
      <c r="AI14" s="59"/>
      <c r="AJ14" s="63"/>
      <c r="AK14" s="63"/>
      <c r="AL14" s="63">
        <f>AL8/$AL$9</f>
        <v>0.26205998152566701</v>
      </c>
      <c r="AM14" s="59"/>
      <c r="AN14" s="30"/>
      <c r="AO14" s="59"/>
      <c r="AP14" s="59"/>
      <c r="AQ14" s="63"/>
      <c r="AR14" s="63"/>
      <c r="AS14" s="63">
        <f>AS8/$AS$9</f>
        <v>0.25494242448016224</v>
      </c>
      <c r="AT14" s="59"/>
      <c r="AU14" s="2"/>
      <c r="AV14" s="59"/>
      <c r="AW14" s="59"/>
      <c r="AX14" s="63"/>
      <c r="AY14" s="63"/>
      <c r="AZ14" s="63">
        <f>AZ8/$AZ$9</f>
        <v>0.24191546485381848</v>
      </c>
      <c r="BA14" s="59"/>
      <c r="BB14" s="2"/>
    </row>
    <row r="15" spans="1:54" ht="16.5" customHeight="1" x14ac:dyDescent="0.3">
      <c r="A15" s="99" t="s">
        <v>30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64" t="s">
        <v>26</v>
      </c>
      <c r="M15" s="65">
        <v>100</v>
      </c>
      <c r="N15" s="65">
        <v>100</v>
      </c>
      <c r="O15" s="65">
        <v>100</v>
      </c>
      <c r="P15" s="65">
        <v>100</v>
      </c>
      <c r="Q15" s="65">
        <v>100</v>
      </c>
      <c r="R15" s="8"/>
      <c r="S15" s="64"/>
      <c r="T15" s="98"/>
      <c r="V15" s="73">
        <f>Q15/100</f>
        <v>1</v>
      </c>
      <c r="W15" s="57"/>
      <c r="X15" s="58"/>
      <c r="Y15" s="96">
        <f>SUM(Y11:Y14)</f>
        <v>1</v>
      </c>
      <c r="Z15" s="30"/>
      <c r="AA15" s="59"/>
      <c r="AB15" s="59"/>
      <c r="AC15" s="66"/>
      <c r="AD15" s="59"/>
      <c r="AE15" s="66">
        <f>SUM(AE11:AE14)</f>
        <v>1</v>
      </c>
      <c r="AF15" s="59"/>
      <c r="AG15" s="30"/>
      <c r="AH15" s="59"/>
      <c r="AI15" s="59"/>
      <c r="AJ15" s="66"/>
      <c r="AK15" s="66"/>
      <c r="AL15" s="66">
        <f>SUM(AL11:AL14)</f>
        <v>1</v>
      </c>
      <c r="AM15" s="59"/>
      <c r="AN15" s="30"/>
      <c r="AO15" s="59"/>
      <c r="AP15" s="59"/>
      <c r="AQ15" s="66"/>
      <c r="AR15" s="66"/>
      <c r="AS15" s="66">
        <f>SUM(AS11:AS14)</f>
        <v>1</v>
      </c>
      <c r="AT15" s="59"/>
      <c r="AU15" s="2"/>
      <c r="AV15" s="59"/>
      <c r="AW15" s="59"/>
      <c r="AX15" s="66"/>
      <c r="AY15" s="66"/>
      <c r="AZ15" s="66">
        <f>SUM(AZ11:AZ14)</f>
        <v>1</v>
      </c>
      <c r="BA15" s="59"/>
      <c r="BB15" s="2"/>
    </row>
    <row r="16" spans="1:54" ht="1.5" customHeight="1" x14ac:dyDescent="0.25">
      <c r="A16" s="100"/>
      <c r="B16" s="100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2"/>
      <c r="V16" s="102"/>
      <c r="W16" s="102"/>
      <c r="X16" s="103"/>
      <c r="Y16" s="103"/>
      <c r="Z16" s="103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3"/>
      <c r="AT16" s="103"/>
      <c r="AU16" s="104"/>
      <c r="AV16" s="103"/>
      <c r="AW16" s="103"/>
      <c r="AX16" s="103"/>
      <c r="AY16" s="103"/>
      <c r="AZ16" s="103"/>
      <c r="BA16" s="103"/>
      <c r="BB16" s="103"/>
    </row>
    <row r="17" spans="1:45" ht="16.5" customHeight="1" x14ac:dyDescent="0.25">
      <c r="A17" s="67"/>
      <c r="B17" s="67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AB17" s="69" t="s">
        <v>17</v>
      </c>
      <c r="AI17" t="s">
        <v>17</v>
      </c>
      <c r="AK17" s="70" t="s">
        <v>17</v>
      </c>
      <c r="AL17" s="70" t="s">
        <v>17</v>
      </c>
    </row>
    <row r="18" spans="1:45" ht="4.5" customHeight="1" x14ac:dyDescent="0.25">
      <c r="A18" s="67"/>
      <c r="B18" s="67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</row>
    <row r="19" spans="1:45" ht="16.5" customHeight="1" x14ac:dyDescent="0.25">
      <c r="A19" s="67"/>
      <c r="B19" s="67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AK19" s="70" t="s">
        <v>17</v>
      </c>
    </row>
    <row r="20" spans="1:45" ht="29.45" customHeight="1" x14ac:dyDescent="0.25">
      <c r="A20" s="67"/>
      <c r="B20" s="67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Y20" t="s">
        <v>17</v>
      </c>
      <c r="AS20" s="106" t="s">
        <v>45</v>
      </c>
    </row>
    <row r="21" spans="1:45" ht="29.45" customHeight="1" x14ac:dyDescent="0.25">
      <c r="A21" s="67"/>
      <c r="B21" s="67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</row>
    <row r="22" spans="1:45" ht="16.5" customHeight="1" x14ac:dyDescent="0.25">
      <c r="A22" s="67"/>
      <c r="B22" s="67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</row>
    <row r="23" spans="1:45" ht="29.45" customHeight="1" x14ac:dyDescent="0.25">
      <c r="A23" s="67"/>
      <c r="B23" s="67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</row>
    <row r="24" spans="1:45" ht="16.5" customHeight="1" x14ac:dyDescent="0.25">
      <c r="A24" s="67"/>
      <c r="B24" s="67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</row>
    <row r="25" spans="1:45" ht="4.5" customHeight="1" x14ac:dyDescent="0.25"/>
    <row r="26" spans="1:45" ht="29.45" customHeight="1" x14ac:dyDescent="0.25">
      <c r="A26" s="71"/>
      <c r="B26" s="67"/>
      <c r="C26" s="67"/>
      <c r="D26" s="67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</row>
  </sheetData>
  <mergeCells count="10">
    <mergeCell ref="C20:T20"/>
    <mergeCell ref="L2:Q2"/>
    <mergeCell ref="S2:T2"/>
    <mergeCell ref="C17:T17"/>
    <mergeCell ref="C19:T19"/>
    <mergeCell ref="C21:T21"/>
    <mergeCell ref="C22:T22"/>
    <mergeCell ref="C23:T23"/>
    <mergeCell ref="C24:T24"/>
    <mergeCell ref="E26:T26"/>
  </mergeCells>
  <hyperlinks>
    <hyperlink ref="A1" r:id="rId1" display="ForecastReductionInCriminalActivityAndCorrectionalExpenditureSummary.xlsx"/>
  </hyperlinks>
  <pageMargins left="0.7" right="0.7" top="0.75" bottom="0.75" header="0.3" footer="0.3"/>
  <pageSetup paperSize="9" scale="30" fitToHeight="0" orientation="landscape" useFirstPageNumber="1" horizontalDpi="300" verticalDpi="300" r:id="rId2"/>
  <headerFooter>
    <oddHeader>&amp;C&amp;"Arial,Regular"&amp;8TABLE CA.1</oddHeader>
    <oddFooter>&amp;L&amp;8&amp;G 
&amp;"Arial,Regular"REPORT ON
GOVERNMENT
SERVICES 2020&amp;C &amp;R&amp;8&amp;G&amp;"Arial,Regular" 
JUSTICE SECTOR OVERVIEW
&amp;"Arial,Regular"PAGE &amp;"Arial,Bold"&amp;P&amp;"Arial,Regular" of TABLE CA.1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Expenditure&amp;4castPrisonerReduc </vt:lpstr>
      <vt:lpstr>'Expenditure&amp;4castPrisonerReduc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scribepj</dc:creator>
  <cp:lastModifiedBy>scribepj</cp:lastModifiedBy>
  <dcterms:created xsi:type="dcterms:W3CDTF">2020-04-05T06:41:04Z</dcterms:created>
  <dcterms:modified xsi:type="dcterms:W3CDTF">2020-04-07T07:46:11Z</dcterms:modified>
</cp:coreProperties>
</file>